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5.xml" ContentType="application/vnd.openxmlformats-officedocument.drawing+xml"/>
  <Override PartName="/xl/worksheets/sheet9.xml" ContentType="application/vnd.openxmlformats-officedocument.spreadsheetml.worksheet+xml"/>
  <Override PartName="/xl/drawings/drawing6.xml" ContentType="application/vnd.openxmlformats-officedocument.drawing+xml"/>
  <Override PartName="/xl/worksheets/sheet10.xml" ContentType="application/vnd.openxmlformats-officedocument.spreadsheetml.worksheet+xml"/>
  <Override PartName="/xl/drawings/drawing7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ED3D" lockStructure="1"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Applications" sheetId="2" state="visible" r:id="rId2"/>
    <sheet xmlns:r="http://schemas.openxmlformats.org/officeDocument/2006/relationships" name="Aujourdhui" sheetId="3" state="visible" r:id="rId3"/>
    <sheet xmlns:r="http://schemas.openxmlformats.org/officeDocument/2006/relationships" name="Ressources" sheetId="4" state="visible" r:id="rId4"/>
    <sheet xmlns:r="http://schemas.openxmlformats.org/officeDocument/2006/relationships" name="Suivi Hebdo" sheetId="5" state="visible" r:id="rId5"/>
    <sheet xmlns:r="http://schemas.openxmlformats.org/officeDocument/2006/relationships" name="Analyse Avancée" sheetId="6" state="visible" r:id="rId6"/>
    <sheet xmlns:r="http://schemas.openxmlformats.org/officeDocument/2006/relationships" name="Contacts RH" sheetId="7" state="visible" r:id="rId7"/>
    <sheet xmlns:r="http://schemas.openxmlformats.org/officeDocument/2006/relationships" name="Calendrier Activité" sheetId="8" state="visible" r:id="rId8"/>
    <sheet xmlns:r="http://schemas.openxmlformats.org/officeDocument/2006/relationships" name="Simulateur Objectifs" sheetId="9" state="visible" r:id="rId9"/>
    <sheet xmlns:r="http://schemas.openxmlformats.org/officeDocument/2006/relationships" name="Comparateur Offres" sheetId="10" state="visible" r:id="rId10"/>
    <sheet xmlns:r="http://schemas.openxmlformats.org/officeDocument/2006/relationships" name="Simulateur Entretien" sheetId="11" state="visible" r:id="rId11"/>
    <sheet xmlns:r="http://schemas.openxmlformats.org/officeDocument/2006/relationships" name="Lettre Auto" sheetId="12" state="visible" r:id="rId12"/>
    <sheet xmlns:r="http://schemas.openxmlformats.org/officeDocument/2006/relationships" name="Négociation Salariale" sheetId="13" state="visible" r:id="rId13"/>
    <sheet xmlns:r="http://schemas.openxmlformats.org/officeDocument/2006/relationships" name="Banque Reussites" sheetId="14" state="visible" r:id="rId14"/>
  </sheets>
  <definedNames>
    <definedName name="_xlnm._FilterDatabase" localSheetId="1" hidden="1">'Applications'!$B$5:$O$200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5">
    <numFmt numFmtId="164" formatCode="0.0%"/>
    <numFmt numFmtId="165" formatCode="dd/mm/yyyy"/>
    <numFmt numFmtId="166" formatCode="0.0"/>
    <numFmt numFmtId="167" formatCode="dd/mm"/>
    <numFmt numFmtId="168" formatCode="0.0000"/>
  </numFmts>
  <fonts count="60">
    <font>
      <name val="Calibri"/>
      <charset val="1"/>
      <family val="0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1F3864"/>
      <sz val="8"/>
    </font>
    <font>
      <name val="Calibri"/>
      <charset val="1"/>
      <family val="0"/>
      <b val="1"/>
      <color rgb="FFFFFFFF"/>
      <sz val="8"/>
      <u val="single"/>
    </font>
    <font>
      <name val="Calibri"/>
      <charset val="1"/>
      <family val="0"/>
      <b val="1"/>
      <color rgb="FFFFFFFF"/>
      <sz val="22"/>
    </font>
    <font>
      <name val="Cambria"/>
      <charset val="1"/>
      <family val="0"/>
      <color rgb="FFFFFFFF"/>
      <sz val="1"/>
    </font>
    <font>
      <name val="Calibri"/>
      <charset val="1"/>
      <family val="0"/>
      <i val="1"/>
      <color rgb="FF757575"/>
      <sz val="11"/>
    </font>
    <font>
      <name val="Calibri"/>
      <charset val="1"/>
      <family val="0"/>
      <b val="1"/>
      <color rgb="FFFFFFFF"/>
      <sz val="9"/>
    </font>
    <font>
      <name val="Calibri"/>
      <charset val="1"/>
      <family val="0"/>
      <b val="1"/>
      <color rgb="FF1F3864"/>
      <sz val="9"/>
    </font>
    <font>
      <name val="Calibri"/>
      <charset val="1"/>
      <family val="0"/>
      <b val="1"/>
      <color rgb="FFFFFFFF"/>
      <sz val="26"/>
    </font>
    <font>
      <name val="Calibri"/>
      <charset val="1"/>
      <family val="0"/>
      <b val="1"/>
      <color rgb="FF1F3864"/>
      <sz val="26"/>
    </font>
    <font>
      <name val="Calibri"/>
      <charset val="1"/>
      <family val="0"/>
      <b val="1"/>
      <color rgb="FFFFFFFF"/>
      <sz val="10"/>
    </font>
    <font>
      <name val="Calibri"/>
      <charset val="1"/>
      <family val="0"/>
      <b val="1"/>
      <color rgb="FF1F3864"/>
      <sz val="10"/>
    </font>
    <font>
      <name val="Calibri"/>
      <charset val="1"/>
      <family val="0"/>
      <b val="1"/>
      <color rgb="FF1F3864"/>
      <sz val="13"/>
    </font>
    <font>
      <name val="Calibri"/>
      <charset val="1"/>
      <family val="0"/>
      <color rgb="FF757575"/>
      <sz val="9"/>
    </font>
    <font>
      <name val="Calibri"/>
      <charset val="1"/>
      <family val="0"/>
      <color rgb="FF333333"/>
      <sz val="10"/>
    </font>
    <font>
      <name val="Calibri"/>
      <charset val="1"/>
      <family val="0"/>
      <b val="1"/>
      <color rgb="FF2E5C9A"/>
      <sz val="12"/>
    </font>
    <font>
      <name val="Calibri"/>
      <charset val="1"/>
      <family val="0"/>
      <b val="1"/>
      <color rgb="FF555555"/>
      <sz val="9"/>
    </font>
    <font>
      <name val="Calibri"/>
      <charset val="1"/>
      <family val="0"/>
      <b val="1"/>
      <color rgb="FF2E5C9A"/>
      <sz val="10"/>
    </font>
    <font>
      <name val="Calibri"/>
      <charset val="1"/>
      <family val="0"/>
      <color rgb="FF555555"/>
      <sz val="9"/>
    </font>
    <font>
      <name val="Calibri"/>
      <charset val="1"/>
      <family val="0"/>
      <b val="1"/>
      <color rgb="FF2E5C9A"/>
      <sz val="11"/>
    </font>
    <font>
      <name val="Calibri"/>
      <charset val="1"/>
      <family val="0"/>
      <b val="1"/>
      <color rgb="FF1F3864"/>
      <sz val="28"/>
    </font>
    <font>
      <name val="Calibri"/>
      <charset val="1"/>
      <family val="0"/>
      <b val="1"/>
      <color rgb="FFFFFFFF"/>
      <sz val="12"/>
    </font>
    <font>
      <name val="Calibri"/>
      <charset val="1"/>
      <family val="0"/>
      <b val="1"/>
      <color rgb="FF1E7B45"/>
      <sz val="10"/>
    </font>
    <font>
      <name val="Calibri"/>
      <family val="2"/>
      <b val="1"/>
      <color rgb="FF000000"/>
      <sz val="18"/>
    </font>
    <font>
      <name val="Calibri"/>
      <family val="2"/>
      <color rgb="FF000000"/>
      <sz val="10"/>
    </font>
    <font>
      <name val="Calibri"/>
      <family val="2"/>
      <b val="1"/>
      <color rgb="FF000000"/>
      <sz val="10"/>
    </font>
    <font>
      <name val="Calibri"/>
      <charset val="1"/>
      <family val="0"/>
      <b val="1"/>
      <color rgb="FFFFFFFF"/>
      <sz val="20"/>
    </font>
    <font>
      <name val="Calibri"/>
      <charset val="1"/>
      <family val="0"/>
      <i val="1"/>
      <color rgb="FF555555"/>
      <sz val="9"/>
    </font>
    <font>
      <name val="Calibri"/>
      <charset val="1"/>
      <family val="0"/>
      <color rgb="FF1155CC"/>
      <sz val="10"/>
      <u val="single"/>
    </font>
    <font>
      <name val="Calibri"/>
      <charset val="1"/>
      <family val="0"/>
      <color theme="1"/>
      <sz val="9"/>
    </font>
    <font>
      <name val="FreeSans"/>
      <charset val="1"/>
      <family val="0"/>
      <color rgb="FF333333"/>
      <sz val="10"/>
    </font>
    <font>
      <name val="Calibri"/>
      <charset val="1"/>
      <family val="0"/>
      <color rgb="FF0000FF"/>
      <sz val="10"/>
      <u val="single"/>
    </font>
    <font>
      <name val="Calibri"/>
      <charset val="1"/>
      <family val="0"/>
      <b val="1"/>
      <color rgb="FF1F3864"/>
      <sz val="16"/>
    </font>
    <font>
      <name val="Calibri"/>
      <charset val="1"/>
      <family val="0"/>
      <b val="1"/>
      <i val="1"/>
      <color rgb="FF1F3864"/>
      <sz val="12"/>
    </font>
    <font>
      <name val="Calibri"/>
      <charset val="1"/>
      <family val="0"/>
      <b val="1"/>
      <color theme="1"/>
      <sz val="10"/>
    </font>
    <font>
      <name val="Calibri"/>
      <charset val="1"/>
      <family val="0"/>
      <b val="1"/>
      <color rgb="FFB22222"/>
      <sz val="14"/>
    </font>
    <font>
      <name val="Calibri"/>
      <charset val="1"/>
      <family val="0"/>
      <i val="1"/>
      <color rgb="FF1F3864"/>
      <sz val="10"/>
    </font>
    <font>
      <name val="Calibri"/>
      <charset val="1"/>
      <family val="0"/>
      <b val="1"/>
      <color rgb="FFFFFFFF"/>
      <sz val="18"/>
    </font>
    <font>
      <name val="Calibri"/>
      <charset val="1"/>
      <family val="0"/>
      <b val="1"/>
      <color rgb="FF999999"/>
      <sz val="12"/>
    </font>
    <font>
      <name val="Calibri"/>
      <charset val="1"/>
      <family val="0"/>
      <i val="1"/>
      <color rgb="FF444444"/>
      <sz val="9"/>
    </font>
    <font>
      <name val="Calibri"/>
      <charset val="1"/>
      <family val="0"/>
      <color rgb="FF2E5C9A"/>
      <sz val="10"/>
    </font>
    <font>
      <name val="Calibri"/>
      <charset val="1"/>
      <family val="0"/>
      <b val="1"/>
      <color rgb="FF1F3864"/>
      <sz val="12"/>
    </font>
    <font>
      <name val="Calibri"/>
      <charset val="1"/>
      <family val="0"/>
      <b val="1"/>
      <color rgb="FF2E5C9A"/>
      <sz val="16"/>
    </font>
    <font>
      <name val="Calibri"/>
      <charset val="1"/>
      <family val="0"/>
      <i val="1"/>
      <color rgb="FF757575"/>
      <sz val="9"/>
    </font>
    <font>
      <name val="Calibri"/>
      <charset val="1"/>
      <family val="0"/>
      <color rgb="FF333333"/>
      <sz val="9"/>
    </font>
    <font>
      <name val="Calibri"/>
      <charset val="1"/>
      <family val="0"/>
      <b val="1"/>
      <color rgb="FF0000FF"/>
      <sz val="11"/>
    </font>
    <font>
      <name val="Calibri"/>
      <charset val="1"/>
      <family val="0"/>
      <i val="1"/>
      <color rgb="FF999999"/>
      <sz val="8"/>
    </font>
    <font>
      <name val="Calibri"/>
      <charset val="1"/>
      <family val="0"/>
      <b val="1"/>
      <color rgb="FFB22222"/>
      <sz val="12"/>
    </font>
    <font>
      <name val="Cambria"/>
      <charset val="1"/>
      <family val="0"/>
      <i val="1"/>
      <color rgb="FF999999"/>
      <sz val="8"/>
    </font>
    <font>
      <name val="Calibri"/>
      <charset val="1"/>
      <family val="0"/>
      <b val="1"/>
      <color rgb="FF0000FF"/>
      <sz val="10"/>
    </font>
    <font>
      <name val="Calibri"/>
      <charset val="1"/>
      <family val="0"/>
      <i val="1"/>
      <color theme="1"/>
      <sz val="9"/>
    </font>
    <font>
      <name val="Calibri"/>
      <charset val="1"/>
      <family val="0"/>
      <b val="1"/>
      <color theme="1"/>
      <sz val="9"/>
    </font>
    <font>
      <name val="Calibri"/>
      <charset val="1"/>
      <family val="0"/>
      <b val="1"/>
      <color rgb="FF1E7B45"/>
      <sz val="11"/>
    </font>
    <font>
      <name val="Calibri"/>
      <charset val="1"/>
      <family val="0"/>
      <i val="1"/>
      <color rgb="FF777777"/>
      <sz val="9"/>
    </font>
    <font>
      <name val="Calibri"/>
      <charset val="1"/>
      <family val="0"/>
      <b val="1"/>
      <color rgb="FF1F3864"/>
      <sz val="14"/>
    </font>
    <font>
      <name val="Calibri"/>
      <charset val="1"/>
      <family val="0"/>
      <b val="1"/>
      <color rgb="FF999999"/>
      <sz val="10"/>
    </font>
    <font>
      <name val="Calibri"/>
      <charset val="1"/>
      <family val="0"/>
      <b val="1"/>
      <color rgb="FF1F3864"/>
      <sz val="11"/>
    </font>
  </fonts>
  <fills count="10">
    <fill>
      <patternFill/>
    </fill>
    <fill>
      <patternFill patternType="gray125"/>
    </fill>
    <fill>
      <patternFill patternType="solid">
        <fgColor rgb="FFC9A227"/>
        <bgColor rgb="FFE69138"/>
      </patternFill>
    </fill>
    <fill>
      <patternFill patternType="solid">
        <fgColor rgb="FF1F3864"/>
        <bgColor rgb="FF333333"/>
      </patternFill>
    </fill>
    <fill>
      <patternFill patternType="solid">
        <fgColor rgb="FF2E5C9A"/>
        <bgColor rgb="FF1155CC"/>
      </patternFill>
    </fill>
    <fill>
      <patternFill patternType="solid">
        <fgColor rgb="FFB22222"/>
        <bgColor rgb="FF9C0006"/>
      </patternFill>
    </fill>
    <fill>
      <patternFill patternType="solid">
        <fgColor rgb="FF1E7B45"/>
        <bgColor rgb="FF008080"/>
      </patternFill>
    </fill>
    <fill>
      <patternFill patternType="solid">
        <fgColor rgb="FF757575"/>
        <bgColor rgb="FF777777"/>
      </patternFill>
    </fill>
    <fill>
      <patternFill patternType="solid">
        <fgColor rgb="FFFFF2CC"/>
        <bgColor rgb="FFFFF3CD"/>
      </patternFill>
    </fill>
    <fill>
      <patternFill patternType="solid">
        <fgColor rgb="FFF2F2F2"/>
        <bgColor rgb="FFE2F0D9"/>
      </patternFill>
    </fill>
  </fills>
  <borders count="12">
    <border>
      <left/>
      <right/>
      <top/>
      <bottom/>
      <diagonal/>
    </border>
    <border>
      <left/>
      <right/>
      <top/>
      <bottom style="thick">
        <color rgb="FFC9A227"/>
      </bottom>
      <diagonal/>
    </border>
    <border>
      <left/>
      <right/>
      <top/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15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9" fontId="5" fillId="3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general" vertical="bottom"/>
    </xf>
    <xf numFmtId="1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left" vertical="bottom"/>
    </xf>
    <xf numFmtId="0" fontId="9" fillId="3" borderId="0" applyAlignment="1" pivotButton="0" quotePrefix="0" xfId="0">
      <alignment horizontal="center" vertical="center"/>
    </xf>
    <xf numFmtId="0" fontId="9" fillId="4" borderId="0" applyAlignment="1" pivotButton="0" quotePrefix="0" xfId="0">
      <alignment horizontal="center" vertical="center"/>
    </xf>
    <xf numFmtId="0" fontId="9" fillId="5" borderId="0" applyAlignment="1" pivotButton="0" quotePrefix="0" xfId="0">
      <alignment horizontal="center" vertical="center"/>
    </xf>
    <xf numFmtId="0" fontId="10" fillId="2" borderId="0" applyAlignment="1" pivotButton="0" quotePrefix="0" xfId="0">
      <alignment horizontal="center" vertical="center"/>
    </xf>
    <xf numFmtId="0" fontId="9" fillId="6" borderId="0" applyAlignment="1" pivotButton="0" quotePrefix="0" xfId="0">
      <alignment horizontal="center" vertical="center"/>
    </xf>
    <xf numFmtId="0" fontId="9" fillId="7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0" fontId="11" fillId="4" borderId="0" applyAlignment="1" pivotButton="0" quotePrefix="0" xfId="0">
      <alignment horizontal="center" vertical="center"/>
    </xf>
    <xf numFmtId="0" fontId="11" fillId="5" borderId="0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11" fillId="6" borderId="0" applyAlignment="1" pivotButton="0" quotePrefix="0" xfId="0">
      <alignment horizontal="center" vertical="center"/>
    </xf>
    <xf numFmtId="9" fontId="11" fillId="7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center" vertical="center" wrapText="1"/>
    </xf>
    <xf numFmtId="0" fontId="14" fillId="2" borderId="0" applyAlignment="1" pivotButton="0" quotePrefix="0" xfId="0">
      <alignment horizontal="center" vertical="center" wrapText="1"/>
    </xf>
    <xf numFmtId="0" fontId="13" fillId="6" borderId="0" applyAlignment="1" pivotButton="0" quotePrefix="0" xfId="0">
      <alignment horizontal="center" vertical="center" wrapText="1"/>
    </xf>
    <xf numFmtId="0" fontId="13" fillId="7" borderId="0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left" vertical="bottom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center" vertical="bottom"/>
    </xf>
    <xf numFmtId="9" fontId="17" fillId="0" borderId="0" applyAlignment="1" pivotButton="0" quotePrefix="0" xfId="0">
      <alignment horizontal="center" vertical="bottom"/>
    </xf>
    <xf numFmtId="0" fontId="1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bottom"/>
    </xf>
    <xf numFmtId="0" fontId="22" fillId="0" borderId="0" applyAlignment="1" pivotButton="0" quotePrefix="0" xfId="0">
      <alignment horizontal="center" vertical="bottom"/>
    </xf>
    <xf numFmtId="164" fontId="22" fillId="0" borderId="0" applyAlignment="1" pivotButton="0" quotePrefix="0" xfId="0">
      <alignment horizontal="center" vertical="bottom"/>
    </xf>
    <xf numFmtId="0" fontId="18" fillId="0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center" vertical="bottom"/>
    </xf>
    <xf numFmtId="0" fontId="20" fillId="8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center" vertical="bottom"/>
    </xf>
    <xf numFmtId="0" fontId="23" fillId="0" borderId="0" applyAlignment="1" pivotButton="0" quotePrefix="0" xfId="0">
      <alignment horizontal="center" vertical="bottom"/>
    </xf>
    <xf numFmtId="0" fontId="24" fillId="0" borderId="0" applyAlignment="1" pivotButton="0" quotePrefix="0" xfId="0">
      <alignment horizontal="center" vertical="center"/>
    </xf>
    <xf numFmtId="0" fontId="20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center" wrapText="1"/>
    </xf>
    <xf numFmtId="0" fontId="14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general" vertical="bottom"/>
    </xf>
    <xf numFmtId="9" fontId="7" fillId="0" borderId="0" applyAlignment="1" pivotButton="0" quotePrefix="0" xfId="0">
      <alignment horizontal="general" vertical="bottom"/>
    </xf>
    <xf numFmtId="0" fontId="29" fillId="3" borderId="0" applyAlignment="1" pivotButton="0" quotePrefix="0" xfId="0">
      <alignment horizontal="left" vertical="center"/>
    </xf>
    <xf numFmtId="0" fontId="30" fillId="0" borderId="0" applyAlignment="1" pivotButton="0" quotePrefix="0" xfId="0">
      <alignment horizontal="center" vertical="center" wrapText="1"/>
    </xf>
    <xf numFmtId="0" fontId="13" fillId="4" borderId="2" applyAlignment="1" pivotButton="0" quotePrefix="0" xfId="0">
      <alignment horizontal="center" vertical="center" wrapText="1"/>
    </xf>
    <xf numFmtId="0" fontId="13" fillId="4" borderId="0" applyAlignment="1" pivotButton="0" quotePrefix="0" xfId="0">
      <alignment horizontal="center" vertical="center" wrapText="1"/>
    </xf>
    <xf numFmtId="0" fontId="17" fillId="0" borderId="3" applyAlignment="1" pivotButton="0" quotePrefix="0" xfId="0">
      <alignment horizontal="center" vertical="center"/>
    </xf>
    <xf numFmtId="0" fontId="17" fillId="0" borderId="3" applyAlignment="1" pivotButton="0" quotePrefix="0" xfId="0">
      <alignment horizontal="left" vertical="center" wrapText="1"/>
    </xf>
    <xf numFmtId="165" fontId="17" fillId="0" borderId="3" applyAlignment="1" pivotButton="0" quotePrefix="0" xfId="0">
      <alignment horizontal="center" vertical="center"/>
    </xf>
    <xf numFmtId="0" fontId="17" fillId="0" borderId="3" applyAlignment="1" pivotButton="0" quotePrefix="0" xfId="0">
      <alignment horizontal="left" vertical="center"/>
    </xf>
    <xf numFmtId="0" fontId="31" fillId="0" borderId="3" applyAlignment="1" pivotButton="0" quotePrefix="0" xfId="0">
      <alignment horizontal="left" vertical="center" wrapText="1"/>
    </xf>
    <xf numFmtId="0" fontId="17" fillId="9" borderId="3" applyAlignment="1" pivotButton="0" quotePrefix="0" xfId="0">
      <alignment horizontal="center" vertical="center"/>
    </xf>
    <xf numFmtId="0" fontId="17" fillId="9" borderId="3" applyAlignment="1" pivotButton="0" quotePrefix="0" xfId="0">
      <alignment horizontal="left" vertical="center" wrapText="1"/>
    </xf>
    <xf numFmtId="165" fontId="17" fillId="9" borderId="3" applyAlignment="1" pivotButton="0" quotePrefix="0" xfId="0">
      <alignment horizontal="center" vertical="center"/>
    </xf>
    <xf numFmtId="0" fontId="17" fillId="9" borderId="3" applyAlignment="1" pivotButton="0" quotePrefix="0" xfId="0">
      <alignment horizontal="left" vertical="center"/>
    </xf>
    <xf numFmtId="0" fontId="31" fillId="9" borderId="3" applyAlignment="1" pivotButton="0" quotePrefix="0" xfId="0">
      <alignment horizontal="left" vertical="center" wrapText="1"/>
    </xf>
    <xf numFmtId="0" fontId="32" fillId="0" borderId="0" applyAlignment="1" pivotButton="0" quotePrefix="0" xfId="0">
      <alignment horizontal="general" vertical="bottom"/>
    </xf>
    <xf numFmtId="0" fontId="33" fillId="0" borderId="3" applyAlignment="1" pivotButton="0" quotePrefix="0" xfId="0">
      <alignment horizontal="left" vertical="center" wrapText="1"/>
    </xf>
    <xf numFmtId="0" fontId="17" fillId="0" borderId="3" applyAlignment="1" pivotButton="0" quotePrefix="0" xfId="0">
      <alignment horizontal="center" vertical="bottom"/>
    </xf>
    <xf numFmtId="0" fontId="17" fillId="0" borderId="3" applyAlignment="1" pivotButton="0" quotePrefix="0" xfId="0">
      <alignment horizontal="general" vertical="bottom" wrapText="1"/>
    </xf>
    <xf numFmtId="0" fontId="17" fillId="0" borderId="3" applyAlignment="1" pivotButton="0" quotePrefix="0" xfId="0">
      <alignment horizontal="general" vertical="bottom"/>
    </xf>
    <xf numFmtId="0" fontId="34" fillId="0" borderId="3" applyAlignment="1" pivotButton="0" quotePrefix="0" xfId="0">
      <alignment horizontal="general" vertical="bottom" wrapText="1"/>
    </xf>
    <xf numFmtId="0" fontId="33" fillId="0" borderId="3" applyAlignment="1" pivotButton="0" quotePrefix="0" xfId="0">
      <alignment horizontal="general" vertical="bottom" wrapText="1"/>
    </xf>
    <xf numFmtId="165" fontId="17" fillId="0" borderId="3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 wrapText="1"/>
    </xf>
    <xf numFmtId="0" fontId="35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36" fillId="0" borderId="0" applyAlignment="1" pivotButton="0" quotePrefix="0" xfId="0">
      <alignment horizontal="general" vertical="center" wrapText="1"/>
    </xf>
    <xf numFmtId="0" fontId="37" fillId="0" borderId="0" applyAlignment="1" pivotButton="0" quotePrefix="0" xfId="0">
      <alignment horizontal="general" vertical="bottom"/>
    </xf>
    <xf numFmtId="0" fontId="38" fillId="0" borderId="0" applyAlignment="1" pivotButton="0" quotePrefix="0" xfId="0">
      <alignment horizontal="general" vertical="bottom"/>
    </xf>
    <xf numFmtId="0" fontId="39" fillId="0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40" fillId="3" borderId="0" applyAlignment="1" pivotButton="0" quotePrefix="0" xfId="0">
      <alignment horizontal="left" vertical="center"/>
    </xf>
    <xf numFmtId="0" fontId="24" fillId="2" borderId="0" applyAlignment="1" pivotButton="0" quotePrefix="0" xfId="0">
      <alignment horizontal="general" vertical="center"/>
    </xf>
    <xf numFmtId="0" fontId="17" fillId="0" borderId="0" applyAlignment="1" pivotButton="0" quotePrefix="0" xfId="0">
      <alignment horizontal="general" vertical="center" wrapText="1"/>
    </xf>
    <xf numFmtId="0" fontId="41" fillId="0" borderId="0" applyAlignment="1" pivotButton="0" quotePrefix="0" xfId="0">
      <alignment horizontal="center" vertical="bottom"/>
    </xf>
    <xf numFmtId="0" fontId="33" fillId="0" borderId="0" applyAlignment="1" pivotButton="0" quotePrefix="0" xfId="0">
      <alignment horizontal="general" vertical="center" wrapText="1"/>
    </xf>
    <xf numFmtId="0" fontId="14" fillId="0" borderId="0" applyAlignment="1" pivotButton="0" quotePrefix="0" xfId="0">
      <alignment horizontal="general" vertical="bottom"/>
    </xf>
    <xf numFmtId="0" fontId="42" fillId="0" borderId="0" applyAlignment="1" pivotButton="0" quotePrefix="0" xfId="0">
      <alignment horizontal="general" vertical="top" wrapText="1"/>
    </xf>
    <xf numFmtId="0" fontId="13" fillId="4" borderId="0" applyAlignment="1" pivotButton="0" quotePrefix="0" xfId="0">
      <alignment horizontal="center" vertical="center"/>
    </xf>
    <xf numFmtId="0" fontId="9" fillId="4" borderId="0" applyAlignment="1" pivotButton="0" quotePrefix="0" xfId="0">
      <alignment horizontal="general" vertical="bottom"/>
    </xf>
    <xf numFmtId="165" fontId="17" fillId="0" borderId="3" applyAlignment="1" pivotButton="0" quotePrefix="0" xfId="0">
      <alignment horizontal="center" vertical="bottom"/>
    </xf>
    <xf numFmtId="166" fontId="17" fillId="0" borderId="0" applyAlignment="1" pivotButton="0" quotePrefix="0" xfId="0">
      <alignment horizontal="center" vertical="bottom"/>
    </xf>
    <xf numFmtId="0" fontId="43" fillId="0" borderId="0" applyAlignment="1" pivotButton="0" quotePrefix="0" xfId="0">
      <alignment horizontal="general" vertical="bottom"/>
    </xf>
    <xf numFmtId="0" fontId="44" fillId="0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center" wrapText="1"/>
    </xf>
    <xf numFmtId="1" fontId="45" fillId="0" borderId="0" applyAlignment="1" pivotButton="0" quotePrefix="0" xfId="0">
      <alignment horizontal="center" vertical="center"/>
    </xf>
    <xf numFmtId="164" fontId="45" fillId="0" borderId="0" applyAlignment="1" pivotButton="0" quotePrefix="0" xfId="0">
      <alignment horizontal="center" vertical="center"/>
    </xf>
    <xf numFmtId="0" fontId="20" fillId="0" borderId="0" applyAlignment="1" pivotButton="0" quotePrefix="0" xfId="0">
      <alignment horizontal="center" vertical="bottom"/>
    </xf>
    <xf numFmtId="164" fontId="17" fillId="0" borderId="0" applyAlignment="1" pivotButton="0" quotePrefix="0" xfId="0">
      <alignment horizontal="center" vertical="bottom"/>
    </xf>
    <xf numFmtId="0" fontId="46" fillId="0" borderId="0" applyAlignment="1" pivotButton="0" quotePrefix="0" xfId="0">
      <alignment horizontal="general" vertical="bottom"/>
    </xf>
    <xf numFmtId="0" fontId="30" fillId="0" borderId="0" applyAlignment="1" pivotButton="0" quotePrefix="0" xfId="0">
      <alignment horizontal="center" vertical="center" wrapText="1"/>
    </xf>
    <xf numFmtId="0" fontId="17" fillId="0" borderId="0" applyAlignment="1" pivotButton="0" quotePrefix="0" xfId="0">
      <alignment horizontal="center" vertical="center" wrapText="1"/>
    </xf>
    <xf numFmtId="0" fontId="17" fillId="0" borderId="0" applyAlignment="1" pivotButton="0" quotePrefix="0" xfId="0">
      <alignment horizontal="left" vertical="center" wrapText="1"/>
    </xf>
    <xf numFmtId="167" fontId="17" fillId="0" borderId="0" applyAlignment="1" pivotButton="0" quotePrefix="0" xfId="0">
      <alignment horizontal="center" vertical="bottom"/>
    </xf>
    <xf numFmtId="0" fontId="47" fillId="0" borderId="0" applyAlignment="1" pivotButton="0" quotePrefix="0" xfId="0">
      <alignment horizontal="center" vertical="bottom"/>
    </xf>
    <xf numFmtId="0" fontId="48" fillId="8" borderId="3" applyAlignment="1" pivotButton="0" quotePrefix="0" xfId="0">
      <alignment horizontal="center" vertical="bottom"/>
    </xf>
    <xf numFmtId="0" fontId="49" fillId="0" borderId="0" applyAlignment="1" pivotButton="0" quotePrefix="0" xfId="0">
      <alignment horizontal="general" vertical="bottom"/>
    </xf>
    <xf numFmtId="164" fontId="20" fillId="0" borderId="3" applyAlignment="1" pivotButton="0" quotePrefix="0" xfId="0">
      <alignment horizontal="general" vertical="bottom"/>
    </xf>
    <xf numFmtId="0" fontId="44" fillId="0" borderId="3" applyAlignment="1" pivotButton="0" quotePrefix="0" xfId="0">
      <alignment horizontal="center" vertical="bottom" wrapText="1"/>
    </xf>
    <xf numFmtId="0" fontId="44" fillId="0" borderId="3" applyAlignment="1" pivotButton="0" quotePrefix="0" xfId="0">
      <alignment horizontal="center" vertical="bottom"/>
    </xf>
    <xf numFmtId="0" fontId="20" fillId="0" borderId="3" applyAlignment="1" pivotButton="0" quotePrefix="0" xfId="0">
      <alignment horizontal="center" vertical="bottom"/>
    </xf>
    <xf numFmtId="0" fontId="50" fillId="0" borderId="3" applyAlignment="1" pivotButton="0" quotePrefix="0" xfId="0">
      <alignment horizontal="center" vertical="bottom"/>
    </xf>
    <xf numFmtId="166" fontId="20" fillId="0" borderId="3" applyAlignment="1" pivotButton="0" quotePrefix="0" xfId="0">
      <alignment horizontal="center" vertical="bottom"/>
    </xf>
    <xf numFmtId="165" fontId="44" fillId="0" borderId="3" applyAlignment="1" pivotButton="0" quotePrefix="0" xfId="0">
      <alignment horizontal="center" vertical="bottom"/>
    </xf>
    <xf numFmtId="0" fontId="48" fillId="8" borderId="0" applyAlignment="1" pivotButton="0" quotePrefix="0" xfId="0">
      <alignment horizontal="center" vertical="bottom"/>
    </xf>
    <xf numFmtId="0" fontId="30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center" vertical="bottom"/>
    </xf>
    <xf numFmtId="0" fontId="49" fillId="0" borderId="0" applyAlignment="1" pivotButton="0" quotePrefix="0" xfId="0">
      <alignment horizontal="general" vertical="bottom"/>
    </xf>
    <xf numFmtId="0" fontId="51" fillId="8" borderId="0" applyAlignment="1" pivotButton="0" quotePrefix="0" xfId="0">
      <alignment horizontal="general" vertical="bottom"/>
    </xf>
    <xf numFmtId="9" fontId="52" fillId="8" borderId="0" applyAlignment="1" pivotButton="0" quotePrefix="0" xfId="0">
      <alignment horizontal="center" vertical="bottom"/>
    </xf>
    <xf numFmtId="0" fontId="52" fillId="8" borderId="0" applyAlignment="1" pivotButton="0" quotePrefix="0" xfId="0">
      <alignment horizontal="center" vertical="bottom"/>
    </xf>
    <xf numFmtId="0" fontId="53" fillId="0" borderId="0" applyAlignment="1" pivotButton="0" quotePrefix="0" xfId="0">
      <alignment horizontal="general" vertical="bottom"/>
    </xf>
    <xf numFmtId="9" fontId="54" fillId="0" borderId="0" applyAlignment="1" pivotButton="0" quotePrefix="0" xfId="0">
      <alignment horizontal="general" vertical="bottom"/>
    </xf>
    <xf numFmtId="2" fontId="35" fillId="0" borderId="0" applyAlignment="1" pivotButton="0" quotePrefix="0" xfId="0">
      <alignment horizontal="center" vertical="bottom"/>
    </xf>
    <xf numFmtId="0" fontId="55" fillId="0" borderId="0" applyAlignment="1" pivotButton="0" quotePrefix="0" xfId="0">
      <alignment horizontal="center" vertical="bottom"/>
    </xf>
    <xf numFmtId="3" fontId="52" fillId="8" borderId="0" applyAlignment="1" pivotButton="0" quotePrefix="0" xfId="0">
      <alignment horizontal="center" vertical="bottom"/>
    </xf>
    <xf numFmtId="168" fontId="52" fillId="8" borderId="0" applyAlignment="1" pivotButton="0" quotePrefix="0" xfId="0">
      <alignment horizontal="center" vertical="bottom"/>
    </xf>
    <xf numFmtId="3" fontId="18" fillId="0" borderId="0" applyAlignment="1" pivotButton="0" quotePrefix="0" xfId="0">
      <alignment horizontal="center" vertical="bottom"/>
    </xf>
    <xf numFmtId="0" fontId="56" fillId="0" borderId="0" applyAlignment="1" pivotButton="0" quotePrefix="0" xfId="0">
      <alignment horizontal="general" vertical="bottom"/>
    </xf>
    <xf numFmtId="3" fontId="25" fillId="0" borderId="0" applyAlignment="1" pivotButton="0" quotePrefix="0" xfId="0">
      <alignment horizontal="center" vertical="bottom"/>
    </xf>
    <xf numFmtId="0" fontId="46" fillId="0" borderId="0" applyAlignment="1" pivotButton="0" quotePrefix="0" xfId="0">
      <alignment horizontal="general" vertical="bottom" wrapText="1"/>
    </xf>
    <xf numFmtId="0" fontId="57" fillId="0" borderId="0" applyAlignment="1" pivotButton="0" quotePrefix="0" xfId="0">
      <alignment horizontal="general" vertical="top" wrapText="1"/>
    </xf>
    <xf numFmtId="0" fontId="0" fillId="0" borderId="3" applyAlignment="1" pivotButton="0" quotePrefix="0" xfId="0">
      <alignment horizontal="general" vertical="top" wrapText="1"/>
    </xf>
    <xf numFmtId="0" fontId="54" fillId="0" borderId="0" applyAlignment="1" pivotButton="0" quotePrefix="0" xfId="0">
      <alignment horizontal="general" vertical="bottom"/>
    </xf>
    <xf numFmtId="0" fontId="54" fillId="0" borderId="0" applyAlignment="1" pivotButton="0" quotePrefix="0" xfId="0">
      <alignment horizontal="general" vertical="bottom"/>
    </xf>
    <xf numFmtId="166" fontId="57" fillId="0" borderId="0" applyAlignment="1" pivotButton="0" quotePrefix="0" xfId="0">
      <alignment horizontal="center" vertical="bottom"/>
    </xf>
    <xf numFmtId="0" fontId="49" fillId="0" borderId="0" applyAlignment="1" pivotButton="0" quotePrefix="0" xfId="0">
      <alignment horizontal="general" vertical="bottom" wrapText="1"/>
    </xf>
    <xf numFmtId="0" fontId="37" fillId="0" borderId="0" applyAlignment="1" pivotButton="0" quotePrefix="0" xfId="0">
      <alignment horizontal="general" vertical="center" wrapText="1"/>
    </xf>
    <xf numFmtId="0" fontId="52" fillId="8" borderId="0" applyAlignment="1" pivotButton="0" quotePrefix="0" xfId="0">
      <alignment horizontal="general" vertical="bottom"/>
    </xf>
    <xf numFmtId="0" fontId="52" fillId="8" borderId="0" applyAlignment="1" pivotButton="0" quotePrefix="0" xfId="0">
      <alignment horizontal="general" vertical="center" wrapText="1"/>
    </xf>
    <xf numFmtId="0" fontId="54" fillId="0" borderId="0" applyAlignment="1" pivotButton="0" quotePrefix="0" xfId="0">
      <alignment horizontal="general" vertical="center" wrapText="1"/>
    </xf>
    <xf numFmtId="0" fontId="52" fillId="8" borderId="0" applyAlignment="1" pivotButton="0" quotePrefix="0" xfId="0">
      <alignment horizontal="general" vertical="center" wrapText="1"/>
    </xf>
    <xf numFmtId="0" fontId="52" fillId="8" borderId="0" applyAlignment="1" pivotButton="0" quotePrefix="0" xfId="0">
      <alignment horizontal="general" vertical="bottom"/>
    </xf>
    <xf numFmtId="0" fontId="17" fillId="0" borderId="3" applyAlignment="1" pivotButton="0" quotePrefix="0" xfId="0">
      <alignment horizontal="general" vertical="top" wrapText="1"/>
    </xf>
    <xf numFmtId="0" fontId="17" fillId="0" borderId="4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58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59" fillId="0" borderId="0" applyAlignment="1" pivotButton="0" quotePrefix="0" xfId="0">
      <alignment horizontal="center" vertical="bottom"/>
    </xf>
    <xf numFmtId="3" fontId="52" fillId="8" borderId="0" applyAlignment="1" pivotButton="0" quotePrefix="0" xfId="0">
      <alignment horizontal="general" vertical="bottom"/>
    </xf>
    <xf numFmtId="3" fontId="22" fillId="0" borderId="0" applyAlignment="1" pivotButton="0" quotePrefix="0" xfId="0">
      <alignment horizontal="general" vertical="bottom"/>
    </xf>
    <xf numFmtId="0" fontId="5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center" vertical="bottom"/>
    </xf>
    <xf numFmtId="0" fontId="21" fillId="0" borderId="0" applyAlignment="1" pivotButton="0" quotePrefix="0" xfId="0">
      <alignment horizontal="general" vertical="bottom"/>
    </xf>
    <xf numFmtId="0" fontId="2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22" fillId="0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general" vertical="bottom"/>
    </xf>
    <xf numFmtId="0" fontId="46" fillId="0" borderId="0" applyAlignment="1" pivotButton="0" quotePrefix="0" xfId="0">
      <alignment horizontal="general" vertical="bottom"/>
    </xf>
    <xf numFmtId="0" fontId="39" fillId="0" borderId="4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9" fontId="5" fillId="3" borderId="0" applyAlignment="1" pivotButton="0" quotePrefix="0" xfId="0">
      <alignment horizontal="center" vertical="center"/>
    </xf>
    <xf numFmtId="0" fontId="6" fillId="3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general" vertical="bottom"/>
    </xf>
    <xf numFmtId="1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left" vertical="bottom"/>
    </xf>
    <xf numFmtId="0" fontId="9" fillId="3" borderId="0" applyAlignment="1" pivotButton="0" quotePrefix="0" xfId="0">
      <alignment horizontal="center" vertical="center"/>
    </xf>
    <xf numFmtId="0" fontId="9" fillId="4" borderId="0" applyAlignment="1" pivotButton="0" quotePrefix="0" xfId="0">
      <alignment horizontal="center" vertical="center"/>
    </xf>
    <xf numFmtId="0" fontId="9" fillId="5" borderId="0" applyAlignment="1" pivotButton="0" quotePrefix="0" xfId="0">
      <alignment horizontal="center" vertical="center"/>
    </xf>
    <xf numFmtId="0" fontId="10" fillId="2" borderId="0" applyAlignment="1" pivotButton="0" quotePrefix="0" xfId="0">
      <alignment horizontal="center" vertical="center"/>
    </xf>
    <xf numFmtId="0" fontId="9" fillId="6" borderId="0" applyAlignment="1" pivotButton="0" quotePrefix="0" xfId="0">
      <alignment horizontal="center" vertical="center"/>
    </xf>
    <xf numFmtId="0" fontId="9" fillId="7" borderId="0" applyAlignment="1" pivotButton="0" quotePrefix="0" xfId="0">
      <alignment horizontal="center" vertical="center"/>
    </xf>
    <xf numFmtId="0" fontId="11" fillId="3" borderId="0" applyAlignment="1" pivotButton="0" quotePrefix="0" xfId="0">
      <alignment horizontal="center" vertical="center"/>
    </xf>
    <xf numFmtId="0" fontId="11" fillId="4" borderId="0" applyAlignment="1" pivotButton="0" quotePrefix="0" xfId="0">
      <alignment horizontal="center" vertical="center"/>
    </xf>
    <xf numFmtId="0" fontId="11" fillId="5" borderId="0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11" fillId="6" borderId="0" applyAlignment="1" pivotButton="0" quotePrefix="0" xfId="0">
      <alignment horizontal="center" vertical="center"/>
    </xf>
    <xf numFmtId="9" fontId="11" fillId="7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center" vertical="center" wrapText="1"/>
    </xf>
    <xf numFmtId="0" fontId="14" fillId="2" borderId="0" applyAlignment="1" pivotButton="0" quotePrefix="0" xfId="0">
      <alignment horizontal="center" vertical="center" wrapText="1"/>
    </xf>
    <xf numFmtId="0" fontId="13" fillId="6" borderId="0" applyAlignment="1" pivotButton="0" quotePrefix="0" xfId="0">
      <alignment horizontal="center" vertical="center" wrapText="1"/>
    </xf>
    <xf numFmtId="0" fontId="13" fillId="7" borderId="0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left" vertical="bottom"/>
    </xf>
    <xf numFmtId="0" fontId="0" fillId="0" borderId="1" pivotButton="0" quotePrefix="0" xfId="0"/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center" vertical="bottom"/>
    </xf>
    <xf numFmtId="0" fontId="17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center" vertical="bottom"/>
    </xf>
    <xf numFmtId="9" fontId="17" fillId="0" borderId="0" applyAlignment="1" pivotButton="0" quotePrefix="0" xfId="0">
      <alignment horizontal="center" vertical="bottom"/>
    </xf>
    <xf numFmtId="0" fontId="18" fillId="0" borderId="0" applyAlignment="1" pivotButton="0" quotePrefix="0" xfId="0">
      <alignment horizontal="general" vertical="bottom"/>
    </xf>
    <xf numFmtId="0" fontId="19" fillId="0" borderId="0" applyAlignment="1" pivotButton="0" quotePrefix="0" xfId="0">
      <alignment horizontal="general" vertical="bottom"/>
    </xf>
    <xf numFmtId="0" fontId="20" fillId="0" borderId="0" applyAlignment="1" pivotButton="0" quotePrefix="0" xfId="0">
      <alignment horizontal="general" vertical="bottom"/>
    </xf>
    <xf numFmtId="0" fontId="21" fillId="0" borderId="0" applyAlignment="1" pivotButton="0" quotePrefix="0" xfId="0">
      <alignment horizontal="general" vertical="bottom"/>
    </xf>
    <xf numFmtId="0" fontId="22" fillId="0" borderId="0" applyAlignment="1" pivotButton="0" quotePrefix="0" xfId="0">
      <alignment horizontal="center" vertical="bottom"/>
    </xf>
    <xf numFmtId="164" fontId="22" fillId="0" borderId="0" applyAlignment="1" pivotButton="0" quotePrefix="0" xfId="0">
      <alignment horizontal="center" vertical="bottom"/>
    </xf>
    <xf numFmtId="0" fontId="13" fillId="4" borderId="0" applyAlignment="1" pivotButton="0" quotePrefix="0" xfId="0">
      <alignment horizontal="center" vertical="bottom"/>
    </xf>
    <xf numFmtId="0" fontId="20" fillId="8" borderId="0" applyAlignment="1" pivotButton="0" quotePrefix="0" xfId="0">
      <alignment horizontal="general" vertical="bottom"/>
    </xf>
    <xf numFmtId="0" fontId="23" fillId="0" borderId="0" applyAlignment="1" pivotButton="0" quotePrefix="0" xfId="0">
      <alignment horizontal="center" vertical="bottom"/>
    </xf>
    <xf numFmtId="0" fontId="24" fillId="0" borderId="0" applyAlignment="1" pivotButton="0" quotePrefix="0" xfId="0">
      <alignment horizontal="center" vertical="center"/>
    </xf>
    <xf numFmtId="0" fontId="13" fillId="0" borderId="0" applyAlignment="1" pivotButton="0" quotePrefix="0" xfId="0">
      <alignment horizontal="center" vertical="center" wrapText="1"/>
    </xf>
    <xf numFmtId="0" fontId="14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general" vertical="bottom"/>
    </xf>
    <xf numFmtId="0" fontId="13" fillId="4" borderId="0" applyAlignment="1" pivotButton="0" quotePrefix="0" xfId="0">
      <alignment horizontal="general" vertical="bottom"/>
    </xf>
    <xf numFmtId="9" fontId="7" fillId="0" borderId="0" applyAlignment="1" pivotButton="0" quotePrefix="0" xfId="0">
      <alignment horizontal="general" vertical="bottom"/>
    </xf>
    <xf numFmtId="0" fontId="29" fillId="3" borderId="0" applyAlignment="1" pivotButton="0" quotePrefix="0" xfId="0">
      <alignment horizontal="left" vertical="center"/>
    </xf>
    <xf numFmtId="0" fontId="30" fillId="0" borderId="0" applyAlignment="1" pivotButton="0" quotePrefix="0" xfId="0">
      <alignment horizontal="center" vertical="center" wrapText="1"/>
    </xf>
    <xf numFmtId="0" fontId="13" fillId="4" borderId="2" applyAlignment="1" pivotButton="0" quotePrefix="0" xfId="0">
      <alignment horizontal="center" vertical="center" wrapText="1"/>
    </xf>
    <xf numFmtId="0" fontId="17" fillId="0" borderId="3" applyAlignment="1" pivotButton="0" quotePrefix="0" xfId="0">
      <alignment horizontal="center" vertical="center"/>
    </xf>
    <xf numFmtId="0" fontId="17" fillId="0" borderId="3" applyAlignment="1" pivotButton="0" quotePrefix="0" xfId="0">
      <alignment horizontal="left" vertical="center" wrapText="1"/>
    </xf>
    <xf numFmtId="165" fontId="17" fillId="0" borderId="3" applyAlignment="1" pivotButton="0" quotePrefix="0" xfId="0">
      <alignment horizontal="center" vertical="center"/>
    </xf>
    <xf numFmtId="0" fontId="17" fillId="0" borderId="3" applyAlignment="1" pivotButton="0" quotePrefix="0" xfId="0">
      <alignment horizontal="left" vertical="center"/>
    </xf>
    <xf numFmtId="0" fontId="31" fillId="0" borderId="3" applyAlignment="1" pivotButton="0" quotePrefix="0" xfId="0">
      <alignment horizontal="left" vertical="center" wrapText="1"/>
    </xf>
    <xf numFmtId="0" fontId="17" fillId="9" borderId="3" applyAlignment="1" pivotButton="0" quotePrefix="0" xfId="0">
      <alignment horizontal="center" vertical="center"/>
    </xf>
    <xf numFmtId="0" fontId="17" fillId="9" borderId="3" applyAlignment="1" pivotButton="0" quotePrefix="0" xfId="0">
      <alignment horizontal="left" vertical="center" wrapText="1"/>
    </xf>
    <xf numFmtId="165" fontId="17" fillId="9" borderId="3" applyAlignment="1" pivotButton="0" quotePrefix="0" xfId="0">
      <alignment horizontal="center" vertical="center"/>
    </xf>
    <xf numFmtId="0" fontId="17" fillId="9" borderId="3" applyAlignment="1" pivotButton="0" quotePrefix="0" xfId="0">
      <alignment horizontal="left" vertical="center"/>
    </xf>
    <xf numFmtId="0" fontId="31" fillId="9" borderId="3" applyAlignment="1" pivotButton="0" quotePrefix="0" xfId="0">
      <alignment horizontal="left" vertical="center" wrapText="1"/>
    </xf>
    <xf numFmtId="0" fontId="32" fillId="0" borderId="0" applyAlignment="1" pivotButton="0" quotePrefix="0" xfId="0">
      <alignment horizontal="general" vertical="bottom"/>
    </xf>
    <xf numFmtId="0" fontId="33" fillId="0" borderId="3" applyAlignment="1" pivotButton="0" quotePrefix="0" xfId="0">
      <alignment horizontal="left" vertical="center" wrapText="1"/>
    </xf>
    <xf numFmtId="0" fontId="17" fillId="0" borderId="3" applyAlignment="1" pivotButton="0" quotePrefix="0" xfId="0">
      <alignment horizontal="center" vertical="bottom"/>
    </xf>
    <xf numFmtId="0" fontId="17" fillId="0" borderId="3" applyAlignment="1" pivotButton="0" quotePrefix="0" xfId="0">
      <alignment horizontal="general" vertical="bottom" wrapText="1"/>
    </xf>
    <xf numFmtId="0" fontId="17" fillId="0" borderId="3" applyAlignment="1" pivotButton="0" quotePrefix="0" xfId="0">
      <alignment horizontal="general" vertical="bottom"/>
    </xf>
    <xf numFmtId="0" fontId="34" fillId="0" borderId="3" applyAlignment="1" pivotButton="0" quotePrefix="0" xfId="0">
      <alignment horizontal="general" vertical="bottom" wrapText="1"/>
    </xf>
    <xf numFmtId="0" fontId="33" fillId="0" borderId="3" applyAlignment="1" pivotButton="0" quotePrefix="0" xfId="0">
      <alignment horizontal="general" vertical="bottom" wrapText="1"/>
    </xf>
    <xf numFmtId="165" fontId="17" fillId="0" borderId="3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 wrapText="1"/>
    </xf>
    <xf numFmtId="0" fontId="35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36" fillId="0" borderId="0" applyAlignment="1" pivotButton="0" quotePrefix="0" xfId="0">
      <alignment horizontal="general" vertical="center" wrapText="1"/>
    </xf>
    <xf numFmtId="0" fontId="37" fillId="0" borderId="0" applyAlignment="1" pivotButton="0" quotePrefix="0" xfId="0">
      <alignment horizontal="general" vertical="bottom"/>
    </xf>
    <xf numFmtId="0" fontId="38" fillId="0" borderId="0" applyAlignment="1" pivotButton="0" quotePrefix="0" xfId="0">
      <alignment horizontal="general" vertical="bottom"/>
    </xf>
    <xf numFmtId="0" fontId="39" fillId="0" borderId="0" applyAlignment="1" pivotButton="0" quotePrefix="0" xfId="0">
      <alignment horizontal="general" vertical="bottom"/>
    </xf>
    <xf numFmtId="0" fontId="40" fillId="3" borderId="0" applyAlignment="1" pivotButton="0" quotePrefix="0" xfId="0">
      <alignment horizontal="left" vertical="center"/>
    </xf>
    <xf numFmtId="0" fontId="24" fillId="2" borderId="0" applyAlignment="1" pivotButton="0" quotePrefix="0" xfId="0">
      <alignment horizontal="general" vertical="center"/>
    </xf>
    <xf numFmtId="0" fontId="17" fillId="0" borderId="0" applyAlignment="1" pivotButton="0" quotePrefix="0" xfId="0">
      <alignment horizontal="general" vertical="center" wrapText="1"/>
    </xf>
    <xf numFmtId="0" fontId="41" fillId="0" borderId="0" applyAlignment="1" pivotButton="0" quotePrefix="0" xfId="0">
      <alignment horizontal="center" vertical="bottom"/>
    </xf>
    <xf numFmtId="0" fontId="33" fillId="0" borderId="0" applyAlignment="1" pivotButton="0" quotePrefix="0" xfId="0">
      <alignment horizontal="general" vertical="center" wrapText="1"/>
    </xf>
    <xf numFmtId="0" fontId="42" fillId="0" borderId="0" applyAlignment="1" pivotButton="0" quotePrefix="0" xfId="0">
      <alignment horizontal="general" vertical="top" wrapText="1"/>
    </xf>
    <xf numFmtId="0" fontId="13" fillId="4" borderId="0" applyAlignment="1" pivotButton="0" quotePrefix="0" xfId="0">
      <alignment horizontal="center" vertical="center"/>
    </xf>
    <xf numFmtId="0" fontId="9" fillId="4" borderId="0" applyAlignment="1" pivotButton="0" quotePrefix="0" xfId="0">
      <alignment horizontal="general" vertical="bottom"/>
    </xf>
    <xf numFmtId="165" fontId="17" fillId="0" borderId="3" applyAlignment="1" pivotButton="0" quotePrefix="0" xfId="0">
      <alignment horizontal="center" vertical="bottom"/>
    </xf>
    <xf numFmtId="166" fontId="17" fillId="0" borderId="0" applyAlignment="1" pivotButton="0" quotePrefix="0" xfId="0">
      <alignment horizontal="center" vertical="bottom"/>
    </xf>
    <xf numFmtId="0" fontId="43" fillId="0" borderId="0" applyAlignment="1" pivotButton="0" quotePrefix="0" xfId="0">
      <alignment horizontal="general" vertical="bottom"/>
    </xf>
    <xf numFmtId="0" fontId="44" fillId="0" borderId="0" applyAlignment="1" pivotButton="0" quotePrefix="0" xfId="0">
      <alignment horizontal="center" vertical="bottom"/>
    </xf>
    <xf numFmtId="0" fontId="19" fillId="0" borderId="0" applyAlignment="1" pivotButton="0" quotePrefix="0" xfId="0">
      <alignment horizontal="general" vertical="center" wrapText="1"/>
    </xf>
    <xf numFmtId="1" fontId="45" fillId="0" borderId="0" applyAlignment="1" pivotButton="0" quotePrefix="0" xfId="0">
      <alignment horizontal="center" vertical="center"/>
    </xf>
    <xf numFmtId="164" fontId="45" fillId="0" borderId="0" applyAlignment="1" pivotButton="0" quotePrefix="0" xfId="0">
      <alignment horizontal="center" vertical="center"/>
    </xf>
    <xf numFmtId="0" fontId="20" fillId="0" borderId="0" applyAlignment="1" pivotButton="0" quotePrefix="0" xfId="0">
      <alignment horizontal="center" vertical="bottom"/>
    </xf>
    <xf numFmtId="164" fontId="17" fillId="0" borderId="0" applyAlignment="1" pivotButton="0" quotePrefix="0" xfId="0">
      <alignment horizontal="center" vertical="bottom"/>
    </xf>
    <xf numFmtId="0" fontId="4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center" vertical="center" wrapText="1"/>
    </xf>
    <xf numFmtId="0" fontId="17" fillId="0" borderId="0" applyAlignment="1" pivotButton="0" quotePrefix="0" xfId="0">
      <alignment horizontal="left" vertical="center" wrapText="1"/>
    </xf>
    <xf numFmtId="167" fontId="17" fillId="0" borderId="0" applyAlignment="1" pivotButton="0" quotePrefix="0" xfId="0">
      <alignment horizontal="center" vertical="bottom"/>
    </xf>
    <xf numFmtId="0" fontId="47" fillId="0" borderId="0" applyAlignment="1" pivotButton="0" quotePrefix="0" xfId="0">
      <alignment horizontal="center" vertical="bottom"/>
    </xf>
    <xf numFmtId="0" fontId="48" fillId="8" borderId="3" applyAlignment="1" pivotButton="0" quotePrefix="0" xfId="0">
      <alignment horizontal="center" vertical="bottom"/>
    </xf>
    <xf numFmtId="0" fontId="49" fillId="0" borderId="0" applyAlignment="1" pivotButton="0" quotePrefix="0" xfId="0">
      <alignment horizontal="general" vertical="bottom"/>
    </xf>
    <xf numFmtId="164" fontId="20" fillId="0" borderId="3" applyAlignment="1" pivotButton="0" quotePrefix="0" xfId="0">
      <alignment horizontal="general" vertical="bottom"/>
    </xf>
    <xf numFmtId="0" fontId="44" fillId="0" borderId="3" applyAlignment="1" pivotButton="0" quotePrefix="0" xfId="0">
      <alignment horizontal="center" vertical="bottom" wrapText="1"/>
    </xf>
    <xf numFmtId="0" fontId="44" fillId="0" borderId="3" applyAlignment="1" pivotButton="0" quotePrefix="0" xfId="0">
      <alignment horizontal="center" vertical="bottom"/>
    </xf>
    <xf numFmtId="0" fontId="20" fillId="0" borderId="3" applyAlignment="1" pivotButton="0" quotePrefix="0" xfId="0">
      <alignment horizontal="center" vertical="bottom"/>
    </xf>
    <xf numFmtId="0" fontId="50" fillId="0" borderId="3" applyAlignment="1" pivotButton="0" quotePrefix="0" xfId="0">
      <alignment horizontal="center" vertical="bottom"/>
    </xf>
    <xf numFmtId="166" fontId="20" fillId="0" borderId="3" applyAlignment="1" pivotButton="0" quotePrefix="0" xfId="0">
      <alignment horizontal="center" vertical="bottom"/>
    </xf>
    <xf numFmtId="165" fontId="44" fillId="0" borderId="3" applyAlignment="1" pivotButton="0" quotePrefix="0" xfId="0">
      <alignment horizontal="center" vertical="bottom"/>
    </xf>
    <xf numFmtId="0" fontId="48" fillId="8" borderId="0" applyAlignment="1" pivotButton="0" quotePrefix="0" xfId="0">
      <alignment horizontal="center" vertical="bottom"/>
    </xf>
    <xf numFmtId="0" fontId="30" fillId="0" borderId="0" applyAlignment="1" pivotButton="0" quotePrefix="0" xfId="0">
      <alignment horizontal="general" vertical="bottom"/>
    </xf>
    <xf numFmtId="0" fontId="25" fillId="0" borderId="0" applyAlignment="1" pivotButton="0" quotePrefix="0" xfId="0">
      <alignment horizontal="center" vertical="bottom"/>
    </xf>
    <xf numFmtId="0" fontId="51" fillId="8" borderId="0" applyAlignment="1" pivotButton="0" quotePrefix="0" xfId="0">
      <alignment horizontal="general" vertical="bottom"/>
    </xf>
    <xf numFmtId="9" fontId="52" fillId="8" borderId="0" applyAlignment="1" pivotButton="0" quotePrefix="0" xfId="0">
      <alignment horizontal="center" vertical="bottom"/>
    </xf>
    <xf numFmtId="0" fontId="52" fillId="8" borderId="0" applyAlignment="1" pivotButton="0" quotePrefix="0" xfId="0">
      <alignment horizontal="center" vertical="bottom"/>
    </xf>
    <xf numFmtId="0" fontId="53" fillId="0" borderId="0" applyAlignment="1" pivotButton="0" quotePrefix="0" xfId="0">
      <alignment horizontal="general" vertical="bottom"/>
    </xf>
    <xf numFmtId="9" fontId="54" fillId="0" borderId="0" applyAlignment="1" pivotButton="0" quotePrefix="0" xfId="0">
      <alignment horizontal="general" vertical="bottom"/>
    </xf>
    <xf numFmtId="2" fontId="35" fillId="0" borderId="0" applyAlignment="1" pivotButton="0" quotePrefix="0" xfId="0">
      <alignment horizontal="center" vertical="bottom"/>
    </xf>
    <xf numFmtId="0" fontId="55" fillId="0" borderId="0" applyAlignment="1" pivotButton="0" quotePrefix="0" xfId="0">
      <alignment horizontal="center" vertical="bottom"/>
    </xf>
    <xf numFmtId="3" fontId="52" fillId="8" borderId="0" applyAlignment="1" pivotButton="0" quotePrefix="0" xfId="0">
      <alignment horizontal="center" vertical="bottom"/>
    </xf>
    <xf numFmtId="168" fontId="52" fillId="8" borderId="0" applyAlignment="1" pivotButton="0" quotePrefix="0" xfId="0">
      <alignment horizontal="center" vertical="bottom"/>
    </xf>
    <xf numFmtId="3" fontId="18" fillId="0" borderId="0" applyAlignment="1" pivotButton="0" quotePrefix="0" xfId="0">
      <alignment horizontal="center" vertical="bottom"/>
    </xf>
    <xf numFmtId="0" fontId="56" fillId="0" borderId="0" applyAlignment="1" pivotButton="0" quotePrefix="0" xfId="0">
      <alignment horizontal="general" vertical="bottom"/>
    </xf>
    <xf numFmtId="3" fontId="25" fillId="0" borderId="0" applyAlignment="1" pivotButton="0" quotePrefix="0" xfId="0">
      <alignment horizontal="center" vertical="bottom"/>
    </xf>
    <xf numFmtId="0" fontId="46" fillId="0" borderId="0" applyAlignment="1" pivotButton="0" quotePrefix="0" xfId="0">
      <alignment horizontal="general" vertical="bottom" wrapText="1"/>
    </xf>
    <xf numFmtId="0" fontId="57" fillId="0" borderId="0" applyAlignment="1" pivotButton="0" quotePrefix="0" xfId="0">
      <alignment horizontal="general" vertical="top" wrapText="1"/>
    </xf>
    <xf numFmtId="0" fontId="0" fillId="0" borderId="3" applyAlignment="1" pivotButton="0" quotePrefix="0" xfId="0">
      <alignment horizontal="general" vertical="top" wrapText="1"/>
    </xf>
    <xf numFmtId="0" fontId="0" fillId="0" borderId="5" pivotButton="0" quotePrefix="0" xfId="0"/>
    <xf numFmtId="0" fontId="0" fillId="0" borderId="7" pivotButton="0" quotePrefix="0" xfId="0"/>
    <xf numFmtId="0" fontId="0" fillId="0" borderId="6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54" fillId="0" borderId="0" applyAlignment="1" pivotButton="0" quotePrefix="0" xfId="0">
      <alignment horizontal="general" vertical="bottom"/>
    </xf>
    <xf numFmtId="166" fontId="57" fillId="0" borderId="0" applyAlignment="1" pivotButton="0" quotePrefix="0" xfId="0">
      <alignment horizontal="center" vertical="bottom"/>
    </xf>
    <xf numFmtId="0" fontId="49" fillId="0" borderId="0" applyAlignment="1" pivotButton="0" quotePrefix="0" xfId="0">
      <alignment horizontal="general" vertical="bottom" wrapText="1"/>
    </xf>
    <xf numFmtId="0" fontId="37" fillId="0" borderId="0" applyAlignment="1" pivotButton="0" quotePrefix="0" xfId="0">
      <alignment horizontal="general" vertical="center" wrapText="1"/>
    </xf>
    <xf numFmtId="0" fontId="52" fillId="8" borderId="0" applyAlignment="1" pivotButton="0" quotePrefix="0" xfId="0">
      <alignment horizontal="general" vertical="bottom"/>
    </xf>
    <xf numFmtId="0" fontId="52" fillId="8" borderId="0" applyAlignment="1" pivotButton="0" quotePrefix="0" xfId="0">
      <alignment horizontal="general" vertical="center" wrapText="1"/>
    </xf>
    <xf numFmtId="0" fontId="54" fillId="0" borderId="0" applyAlignment="1" pivotButton="0" quotePrefix="0" xfId="0">
      <alignment horizontal="general" vertical="center" wrapText="1"/>
    </xf>
    <xf numFmtId="0" fontId="17" fillId="0" borderId="3" applyAlignment="1" pivotButton="0" quotePrefix="0" xfId="0">
      <alignment horizontal="general" vertical="top" wrapText="1"/>
    </xf>
    <xf numFmtId="0" fontId="17" fillId="0" borderId="4" applyAlignment="1" pivotButton="0" quotePrefix="0" xfId="0">
      <alignment horizontal="general" vertical="top" wrapText="1"/>
    </xf>
    <xf numFmtId="0" fontId="58" fillId="0" borderId="0" applyAlignment="1" pivotButton="0" quotePrefix="0" xfId="0">
      <alignment horizontal="center" vertical="bottom"/>
    </xf>
    <xf numFmtId="0" fontId="59" fillId="0" borderId="0" applyAlignment="1" pivotButton="0" quotePrefix="0" xfId="0">
      <alignment horizontal="center" vertical="bottom"/>
    </xf>
    <xf numFmtId="3" fontId="52" fillId="8" borderId="0" applyAlignment="1" pivotButton="0" quotePrefix="0" xfId="0">
      <alignment horizontal="general" vertical="bottom"/>
    </xf>
    <xf numFmtId="3" fontId="22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center" vertical="bottom"/>
    </xf>
    <xf numFmtId="0" fontId="2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39" fillId="0" borderId="4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4">
    <dxf>
      <fill>
        <patternFill>
          <bgColor rgb="FFD9EAD3"/>
        </patternFill>
      </fill>
    </dxf>
    <dxf>
      <fill>
        <patternFill>
          <bgColor rgb="FF1E7B45"/>
        </patternFill>
      </fill>
    </dxf>
    <dxf>
      <fill>
        <patternFill>
          <bgColor rgb="FFC9A227"/>
        </patternFill>
      </fill>
    </dxf>
    <dxf>
      <fill>
        <patternFill>
          <bgColor rgb="FFE69138"/>
        </patternFill>
      </fill>
    </dxf>
    <dxf>
      <fill>
        <patternFill>
          <bgColor rgb="FFB22222"/>
        </patternFill>
      </fill>
    </dxf>
    <dxf>
      <font>
        <b val="1"/>
        <color rgb="FF1E7B45"/>
      </font>
      <fill>
        <patternFill>
          <bgColor rgb="FFD9EAD3"/>
        </patternFill>
      </fill>
    </dxf>
    <dxf>
      <fill>
        <patternFill patternType="solid">
          <fgColor rgb="FF2E5C9A"/>
          <bgColor rgb="FF000000"/>
        </patternFill>
      </fill>
    </dxf>
    <dxf>
      <fill>
        <patternFill patternType="solid">
          <fgColor rgb="FFD9EAD3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F4CC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333333"/>
          <bgColor rgb="FF000000"/>
        </patternFill>
      </fill>
    </dxf>
    <dxf>
      <fill>
        <patternFill patternType="solid">
          <fgColor rgb="FF7F6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2F0D9"/>
          <bgColor rgb="FF000000"/>
        </patternFill>
      </fill>
    </dxf>
    <dxf>
      <fill>
        <patternFill patternType="solid">
          <fgColor rgb="FFFCE4E4"/>
          <bgColor rgb="FF000000"/>
        </patternFill>
      </fill>
    </dxf>
    <dxf>
      <fill>
        <patternFill patternType="solid">
          <fgColor rgb="FFFFF3CD"/>
          <bgColor rgb="FF000000"/>
        </patternFill>
      </fill>
    </dxf>
    <dxf>
      <fill>
        <patternFill patternType="solid">
          <fgColor rgb="FF1E7B45"/>
          <bgColor rgb="FF000000"/>
        </patternFill>
      </fill>
    </dxf>
    <dxf>
      <fill>
        <patternFill patternType="solid">
          <fgColor rgb="FF8A6D00"/>
          <bgColor rgb="FF000000"/>
        </patternFill>
      </fill>
    </dxf>
    <dxf>
      <fill>
        <patternFill patternType="solid">
          <fgColor rgb="FFB22222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1155CC"/>
          <bgColor rgb="FF000000"/>
        </patternFill>
      </fill>
    </dxf>
    <dxf>
      <font>
        <b val="1"/>
        <color rgb="FFB22222"/>
      </font>
      <fill>
        <patternFill>
          <bgColor rgb="FFFCE4E4"/>
        </patternFill>
      </fill>
    </dxf>
    <dxf>
      <font>
        <b val="1"/>
        <color rgb="FF8A6D00"/>
      </font>
      <fill>
        <patternFill>
          <bgColor rgb="FFFFF3CD"/>
        </patternFill>
      </fill>
    </dxf>
    <dxf>
      <font>
        <b val="1"/>
        <color rgb="FF1E7B45"/>
      </font>
      <fill>
        <patternFill>
          <bgColor rgb="FFE2F0D9"/>
        </patternFill>
      </fill>
    </dxf>
    <dxf>
      <font>
        <b val="1"/>
        <color rgb="FF1F3864"/>
      </font>
      <fill>
        <patternFill>
          <bgColor rgb="FFCFE2F3"/>
        </patternFill>
      </fill>
    </dxf>
    <dxf>
      <fill>
        <patternFill>
          <bgColor rgb="FFB6D7A8"/>
        </patternFill>
      </fill>
    </dxf>
    <dxf>
      <fill>
        <patternFill>
          <bgColor rgb="FFF4CCCC"/>
        </patternFill>
      </fill>
    </dxf>
    <dxf>
      <fill>
        <patternFill>
          <bgColor rgb="FFFFF2CC"/>
        </patternFill>
      </fill>
    </dxf>
    <dxf>
      <font>
        <name val="Calibri"/>
        <charset val="1"/>
        <family val="0"/>
        <b val="1"/>
        <color rgb="FF9C0006"/>
        <sz val="10"/>
      </font>
      <fill>
        <patternFill>
          <bgColor rgb="FFFFC7CE"/>
        </patternFill>
      </fill>
    </dxf>
    <dxf>
      <fill>
        <patternFill>
          <bgColor rgb="FFFFE599"/>
        </patternFill>
      </fill>
    </dxf>
    <dxf>
      <font>
        <b val="1"/>
        <color rgb="FF7F6000"/>
      </font>
    </dxf>
    <dxf>
      <fill>
        <patternFill>
          <bgColor rgb="FFFCE5C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E599"/>
      <rgbColor rgb="FFFF00FF"/>
      <rgbColor rgb="FFFCE4E4"/>
      <rgbColor rgb="FF9C0006"/>
      <rgbColor rgb="FF008000"/>
      <rgbColor rgb="FF000080"/>
      <rgbColor rgb="FF8A6D00"/>
      <rgbColor rgb="FF800080"/>
      <rgbColor rgb="FF1E7B45"/>
      <rgbColor rgb="FFB7B7B7"/>
      <rgbColor rgb="FF777777"/>
      <rgbColor rgb="FF698FC2"/>
      <rgbColor rgb="FFC0504D"/>
      <rgbColor rgb="FFFFF3CD"/>
      <rgbColor rgb="FFD9EAD3"/>
      <rgbColor rgb="FF660066"/>
      <rgbColor rgb="FFC56A68"/>
      <rgbColor rgb="FF1155CC"/>
      <rgbColor rgb="FFCFE2F3"/>
      <rgbColor rgb="FF000080"/>
      <rgbColor rgb="FFFF00FF"/>
      <rgbColor rgb="FFFCE5CD"/>
      <rgbColor rgb="FF00FFFF"/>
      <rgbColor rgb="FF800080"/>
      <rgbColor rgb="FF800000"/>
      <rgbColor rgb="FF008080"/>
      <rgbColor rgb="FF0000FF"/>
      <rgbColor rgb="FFD9D9D9"/>
      <rgbColor rgb="FFF2F2F2"/>
      <rgbColor rgb="FFE2F0D9"/>
      <rgbColor rgb="FFFFF2CC"/>
      <rgbColor rgb="FFB6D7A8"/>
      <rgbColor rgb="FFFFC7CE"/>
      <rgbColor rgb="FFB3B3B3"/>
      <rgbColor rgb="FFF4CCCC"/>
      <rgbColor rgb="FF4F81BD"/>
      <rgbColor rgb="FF4BACC6"/>
      <rgbColor rgb="FF9BBB59"/>
      <rgbColor rgb="FFC9A227"/>
      <rgbColor rgb="FFE69138"/>
      <rgbColor rgb="FF7F6000"/>
      <rgbColor rgb="FF8064A2"/>
      <rgbColor rgb="FF999999"/>
      <rgbColor rgb="FF1F3864"/>
      <rgbColor rgb="FF757575"/>
      <rgbColor rgb="FF003300"/>
      <rgbColor rgb="FF444444"/>
      <rgbColor rgb="FFB22222"/>
      <rgbColor rgb="FF555555"/>
      <rgbColor rgb="FF2E5C9A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Repartition par statut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pieChart>
        <varyColors val="1"/>
        <ser>
          <idx val="0"/>
          <order val="0"/>
          <tx>
            <strRef>
              <f>Dashboard!$C$57</f>
              <strCache>
                <ptCount val="1"/>
                <pt idx="0">
                  <v>Nombre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explosion val="0"/>
          <dPt>
            <idx val="0"/>
            <spPr>
              <a:solidFill xmlns:a="http://schemas.openxmlformats.org/drawingml/2006/main">
                <a:srgbClr val="4f81bd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0504d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9bbb59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8064a2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4bacc6"/>
              </a:solidFill>
              <a:ln xmlns:a="http://schemas.openxmlformats.org/drawingml/2006/main" w="0">
                <a:noFill/>
                <a:prstDash val="solid"/>
              </a:ln>
            </spPr>
          </dPt>
          <dLbls>
            <dLbl>
              <idx val="0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dLblPos val="bestFit"/>
              <showLegendKey val="0"/>
              <showVal val="0"/>
              <showCatName val="0"/>
              <showSerName val="0"/>
              <showPercent val="0"/>
            </dLbl>
            <dLbl>
              <idx val="1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dLblPos val="bestFit"/>
              <showLegendKey val="0"/>
              <showVal val="0"/>
              <showCatName val="0"/>
              <showSerName val="0"/>
              <showPercent val="0"/>
            </dLbl>
            <dLbl>
              <idx val="2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dLblPos val="bestFit"/>
              <showLegendKey val="0"/>
              <showVal val="0"/>
              <showCatName val="0"/>
              <showSerName val="0"/>
              <showPercent val="0"/>
            </dLbl>
            <dLbl>
              <idx val="3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dLblPos val="bestFit"/>
              <showLegendKey val="0"/>
              <showVal val="0"/>
              <showCatName val="0"/>
              <showSerName val="0"/>
              <showPercent val="0"/>
            </dLbl>
            <dLbl>
              <idx val="4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dLblPos val="bestFit"/>
              <showLegendKey val="0"/>
              <showVal val="0"/>
              <showCatName val="0"/>
              <showSerName val="0"/>
              <showPercent val="0"/>
            </dLbl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t/>
                </a:r>
              </a:p>
            </txPr>
            <dLblPos val="bestFit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Dashboard!$B$58:$B$62</f>
              <strCache>
                <ptCount val="5"/>
                <pt idx="0">
                  <v>Candidature envoyée</v>
                </pt>
                <pt idx="1">
                  <v>Refusé</v>
                </pt>
                <pt idx="2">
                  <v>Entretien</v>
                </pt>
                <pt idx="3">
                  <v>Offre</v>
                </pt>
                <pt idx="4">
                  <v>En attente</v>
                </pt>
              </strCache>
            </strRef>
          </cat>
          <val>
            <numRef>
              <f>Dashboard!$C$58:$C$62</f>
              <numCache>
                <formatCode>General</formatCode>
                <ptCount val="5"/>
                <pt idx="0">
                  <v>29</v>
                </pt>
                <pt idx="1">
                  <v>13</v>
                </pt>
                <pt idx="2">
                  <v>1</v>
                </pt>
                <pt idx="3">
                  <v>0</v>
                </pt>
                <pt idx="4">
                  <v>0</v>
                </pt>
              </numCache>
            </numRef>
          </val>
        </ser>
        <firstSliceAng val="0"/>
      </pieChart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0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Répartition des scores de priorité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"Nb"</f>
              <strCache>
                <ptCount val="1"/>
                <pt idx="0">
                  <v>Nb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Applications!$U$6:$U$10</f>
              <strCache>
                <ptCount val="5"/>
                <pt idx="0">
                  <v>None</v>
                </pt>
                <pt idx="1">
                  <v>None</v>
                </pt>
                <pt idx="2">
                  <v>None</v>
                </pt>
                <pt idx="3">
                  <v>None</v>
                </pt>
                <pt idx="4">
                  <v>None</v>
                </pt>
              </strCache>
            </strRef>
          </cat>
          <val>
            <numRef>
              <f>Applications!$V$6:$V$10</f>
              <numCache>
                <formatCode>General</formatCode>
                <ptCount val="5"/>
                <pt idx="0">
                  <v>13</v>
                </pt>
                <pt idx="1">
                  <v>4</v>
                </pt>
                <pt idx="2">
                  <v>25</v>
                </pt>
                <pt idx="3">
                  <v>0</v>
                </pt>
                <pt idx="4">
                  <v>1</v>
                </pt>
              </numCache>
            </numRef>
          </val>
        </ser>
        <gapWidth val="150"/>
        <overlap val="0"/>
        <axId val="56409421"/>
        <axId val="87839814"/>
      </barChart>
      <catAx>
        <axId val="56409421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87839814"/>
        <crosses val="autoZero"/>
        <auto val="1"/>
        <lblAlgn val="ctr"/>
        <lblOffset val="100"/>
        <noMultiLvlLbl val="0"/>
      </catAx>
      <valAx>
        <axId val="87839814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56409421"/>
        <crosses val="autoZero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1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Candidatures envoyées par semaine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"Candidatures"</f>
              <strCache>
                <ptCount val="1"/>
                <pt idx="0">
                  <v>Candidatures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'Suivi Hebdo'!$B$6:$B$11</f>
              <strCache>
                <ptCount val="6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</strCache>
            </strRef>
          </cat>
          <val>
            <numRef>
              <f>'Suivi Hebdo'!$D$6:$D$11</f>
              <numCache>
                <formatCode>General</formatCode>
                <ptCount val="6"/>
                <pt idx="0">
                  <v>21</v>
                </pt>
                <pt idx="1">
                  <v>22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0</v>
                </pt>
              </numCache>
            </numRef>
          </val>
        </ser>
        <gapWidth val="150"/>
        <overlap val="0"/>
        <axId val="57550472"/>
        <axId val="69146879"/>
      </barChart>
      <catAx>
        <axId val="57550472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Semaine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69146879"/>
        <crosses val="autoZero"/>
        <auto val="1"/>
        <lblAlgn val="ctr"/>
        <lblOffset val="100"/>
        <noMultiLvlLbl val="0"/>
      </catAx>
      <valAx>
        <axId val="69146879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Nombre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57550472"/>
        <crosses val="autoZero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2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Moyenne mobile (3 semaines)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lineChart>
        <grouping val="standard"/>
        <varyColors val="0"/>
        <ser>
          <idx val="0"/>
          <order val="0"/>
          <tx>
            <strRef>
              <f>"Moy. mobile (3 sem.)"</f>
              <strCache>
                <ptCount val="1"/>
                <pt idx="0">
                  <v>Moy. mobile (3 sem.)</v>
                </pt>
              </strCache>
            </strRef>
          </tx>
          <spPr>
            <a:solidFill xmlns:a="http://schemas.openxmlformats.org/drawingml/2006/main">
              <a:srgbClr val="ffffff"/>
            </a:solidFill>
            <a:ln xmlns:a="http://schemas.openxmlformats.org/drawingml/2006/main" w="19080">
              <a:solidFill>
                <a:srgbClr val="ffffff"/>
              </a:solidFill>
              <a:prstDash val="solid"/>
              <a:round/>
            </a:ln>
          </spPr>
          <marker>
            <symbol val="circle"/>
            <size val="7"/>
            <spPr>
              <a:solidFill xmlns:a="http://schemas.openxmlformats.org/drawingml/2006/main">
                <a:srgbClr val="ffffff"/>
              </a:solidFill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'Suivi Hebdo'!$B$6:$B$11</f>
              <strCache>
                <ptCount val="6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</strCache>
            </strRef>
          </cat>
          <val>
            <numRef>
              <f>'Suivi Hebdo'!$G$6:$G$11</f>
              <numCache>
                <formatCode>0.0</formatCode>
                <ptCount val="6"/>
                <pt idx="0">
                  <v>21</v>
                </pt>
                <pt idx="1">
                  <v>21.5</v>
                </pt>
                <pt idx="2">
                  <v>14.3333333333333</v>
                </pt>
                <pt idx="3">
                  <v>7.33333333333333</v>
                </pt>
                <pt idx="4">
                  <v>0</v>
                </pt>
                <pt idx="5">
                  <v>0</v>
                </pt>
              </numCache>
            </numRef>
          </val>
          <smooth val="0"/>
        </ser>
        <hiLowLines>
          <spPr>
            <a:ln xmlns:a="http://schemas.openxmlformats.org/drawingml/2006/main" w="0">
              <a:noFill/>
              <a:prstDash val="solid"/>
            </a:ln>
          </spPr>
        </hiLowLines>
        <marker val="1"/>
        <axId val="20095993"/>
        <axId val="65943459"/>
      </lineChart>
      <catAx>
        <axId val="20095993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65943459"/>
        <crosses val="autoZero"/>
        <auto val="1"/>
        <lblAlgn val="ctr"/>
        <lblOffset val="100"/>
        <noMultiLvlLbl val="0"/>
      </catAx>
      <valAx>
        <axId val="65943459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Moyenne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0.0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20095993"/>
        <crosses val="autoZero"/>
        <crossBetween val="between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3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Entonnoir de conversion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bar"/>
        <grouping val="clustered"/>
        <varyColors val="0"/>
        <ser>
          <idx val="0"/>
          <order val="0"/>
          <tx>
            <strRef>
              <f>"Nombre"</f>
              <strCache>
                <ptCount val="1"/>
                <pt idx="0">
                  <v>Nombre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'Analyse Avancée'!$B$15:$B$17</f>
              <strCache>
                <ptCount val="3"/>
                <pt idx="0">
                  <v>Candidatures envoyées</v>
                </pt>
                <pt idx="1">
                  <v>Entretiens obtenus</v>
                </pt>
                <pt idx="2">
                  <v>Offres reçues</v>
                </pt>
              </strCache>
            </strRef>
          </cat>
          <val>
            <numRef>
              <f>'Analyse Avancée'!$C$15:$C$17</f>
              <numCache>
                <formatCode>General</formatCode>
                <ptCount val="3"/>
                <pt idx="0">
                  <v>43</v>
                </pt>
                <pt idx="1">
                  <v>1</v>
                </pt>
                <pt idx="2">
                  <v>0</v>
                </pt>
              </numCache>
            </numRef>
          </val>
        </ser>
        <gapWidth val="150"/>
        <overlap val="0"/>
        <axId val="77183542"/>
        <axId val="54663373"/>
      </barChart>
      <catAx>
        <axId val="77183542"/>
        <scaling>
          <orientation val="maxMin"/>
        </scaling>
        <delete val="0"/>
        <axPos val="b"/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54663373"/>
        <crosses val="autoZero"/>
        <auto val="1"/>
        <lblAlgn val="ctr"/>
        <lblOffset val="100"/>
        <noMultiLvlLbl val="0"/>
      </catAx>
      <valAx>
        <axId val="54663373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77183542"/>
        <crosses val="max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4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Candidatures par canal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"Candidatures"</f>
              <strCache>
                <ptCount val="1"/>
                <pt idx="0">
                  <v>Candidatures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'Analyse Avancée'!$B$24:$B$27</f>
              <strCache>
                <ptCount val="4"/>
                <pt idx="0">
                  <v>LinkedIn</v>
                </pt>
                <pt idx="1">
                  <v>Career Site</v>
                </pt>
                <pt idx="2">
                  <v>Email</v>
                </pt>
                <pt idx="3">
                  <v>Facebook</v>
                </pt>
              </strCache>
            </strRef>
          </cat>
          <val>
            <numRef>
              <f>'Analyse Avancée'!$C$24:$C$27</f>
              <numCache>
                <formatCode>General</formatCode>
                <ptCount val="4"/>
                <pt idx="0">
                  <v>0</v>
                </pt>
                <pt idx="1">
                  <v>7</v>
                </pt>
                <pt idx="2">
                  <v>1</v>
                </pt>
                <pt idx="3">
                  <v>2</v>
                </pt>
              </numCache>
            </numRef>
          </val>
        </ser>
        <gapWidth val="150"/>
        <overlap val="0"/>
        <axId val="81859641"/>
        <axId val="57746074"/>
      </barChart>
      <catAx>
        <axId val="81859641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57746074"/>
        <crosses val="autoZero"/>
        <auto val="1"/>
        <lblAlgn val="ctr"/>
        <lblOffset val="100"/>
        <noMultiLvlLbl val="0"/>
      </catAx>
      <valAx>
        <axId val="57746074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81859641"/>
        <crosses val="autoZero"/>
        <crossBetween val="between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5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Santé de la recherche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radarChart>
        <radarStyle val="marker"/>
        <varyColors val="0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19080">
              <a:solidFill>
                <a:srgbClr val="4f81bd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'Analyse Avancée'!$H$32:$H$35</f>
              <strCache>
                <ptCount val="4"/>
                <pt idx="0">
                  <v>Taux de réponse</v>
                </pt>
                <pt idx="1">
                  <v>Taux d'entretien</v>
                </pt>
                <pt idx="2">
                  <v>Rythme hebdo (vs objectif)</v>
                </pt>
                <pt idx="3">
                  <v>Fraîcheur des candidatures</v>
                </pt>
              </strCache>
            </strRef>
          </cat>
          <val>
            <numRef>
              <f>'Analyse Avancée'!$I$32:$I$35</f>
              <numCache>
                <formatCode>General</formatCode>
                <ptCount val="4"/>
                <pt idx="0">
                  <v>97.67441860465119</v>
                </pt>
                <pt idx="1">
                  <v>10.3448275862069</v>
                </pt>
                <pt idx="2">
                  <v>0</v>
                </pt>
                <pt idx="3">
                  <v>71.7441860465116</v>
                </pt>
              </numCache>
            </numRef>
          </val>
        </ser>
        <axId val="13454346"/>
        <axId val="692603"/>
      </radarChart>
      <catAx>
        <axId val="13454346"/>
        <scaling>
          <orientation val="minMax"/>
        </scaling>
        <delete val="0"/>
        <axPos val="b"/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692603"/>
        <crosses val="autoZero"/>
        <auto val="1"/>
        <lblAlgn val="ctr"/>
        <lblOffset val="100"/>
        <noMultiLvlLbl val="0"/>
      </catAx>
      <valAx>
        <axId val="692603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13454346"/>
        <crosses val="autoZero"/>
        <crossBetween val="midCat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6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Canaux classés par taux d'entretien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bar"/>
        <grouping val="clustered"/>
        <varyColors val="0"/>
        <ser>
          <idx val="0"/>
          <order val="0"/>
          <tx>
            <strRef>
              <f>"Taux d'entretien"</f>
              <strCache>
                <ptCount val="1"/>
                <pt idx="0">
                  <v>Taux d'entretien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'Analyse Avancée'!$C$33:$C$36</f>
              <strCache>
                <ptCount val="4"/>
                <pt idx="0">
                  <v>Facebook</v>
                </pt>
                <pt idx="1">
                  <v>Email</v>
                </pt>
                <pt idx="2">
                  <v>Career Site</v>
                </pt>
                <pt idx="3">
                  <v>LinkedIn</v>
                </pt>
              </strCache>
            </strRef>
          </cat>
          <val>
            <numRef>
              <f>'Analyse Avancée'!$E$33:$E$36</f>
              <numCache>
                <formatCode>0.0%</formatCode>
                <ptCount val="4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</numCache>
            </numRef>
          </val>
        </ser>
        <gapWidth val="150"/>
        <overlap val="0"/>
        <axId val="75875135"/>
        <axId val="35467306"/>
      </barChart>
      <catAx>
        <axId val="75875135"/>
        <scaling>
          <orientation val="maxMin"/>
        </scaling>
        <delete val="0"/>
        <axPos val="b"/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35467306"/>
        <crosses val="autoZero"/>
        <auto val="1"/>
        <lblAlgn val="ctr"/>
        <lblOffset val="100"/>
        <noMultiLvlLbl val="0"/>
      </catAx>
      <valAx>
        <axId val="35467306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0.0%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75875135"/>
        <crosses val="max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7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Total par semaine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"Total"</f>
              <strCache>
                <ptCount val="1"/>
                <pt idx="0">
                  <v>Total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'Calendrier Activité'!$K$9:$K$18</f>
              <strCache>
                <ptCount val="10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  <pt idx="6">
                  <v>S7</v>
                </pt>
                <pt idx="7">
                  <v>S8</v>
                </pt>
                <pt idx="8">
                  <v>S9</v>
                </pt>
                <pt idx="9">
                  <v>S10</v>
                </pt>
              </strCache>
            </strRef>
          </cat>
          <val>
            <numRef>
              <f>'Calendrier Activité'!$L$9:$L$18</f>
              <numCache>
                <formatCode>General</formatCode>
                <ptCount val="10"/>
                <pt idx="0">
                  <v>21</v>
                </pt>
                <pt idx="1">
                  <v>22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</numCache>
            </numRef>
          </val>
        </ser>
        <gapWidth val="150"/>
        <overlap val="0"/>
        <axId val="17828694"/>
        <axId val="45811535"/>
      </barChart>
      <catAx>
        <axId val="17828694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45811535"/>
        <crosses val="autoZero"/>
        <auto val="1"/>
        <lblAlgn val="ctr"/>
        <lblOffset val="100"/>
        <noMultiLvlLbl val="0"/>
      </catAx>
      <valAx>
        <axId val="45811535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17828694"/>
        <crosses val="autoZero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8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Progression : candidatures envoyées vs nécessaires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bar"/>
        <grouping val="clustered"/>
        <varyColors val="0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'Simulateur Objectifs'!$C$24:$C$25</f>
              <strCache>
                <ptCount val="2"/>
                <pt idx="0">
                  <v>Complété</v>
                </pt>
                <pt idx="1">
                  <v>Restant</v>
                </pt>
              </strCache>
            </strRef>
          </cat>
          <val>
            <numRef>
              <f>'Simulateur Objectifs'!$D$24:$D$25</f>
              <numCache>
                <formatCode>General</formatCode>
                <ptCount val="2"/>
                <pt idx="0">
                  <v>43</v>
                </pt>
                <pt idx="1">
                  <v>301</v>
                </pt>
              </numCache>
            </numRef>
          </val>
        </ser>
        <gapWidth val="150"/>
        <overlap val="0"/>
        <axId val="29829375"/>
        <axId val="27430387"/>
      </barChart>
      <catAx>
        <axId val="29829375"/>
        <scaling>
          <orientation val="maxMin"/>
        </scaling>
        <delete val="0"/>
        <axPos val="b"/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27430387"/>
        <crosses val="autoZero"/>
        <auto val="1"/>
        <lblAlgn val="ctr"/>
        <lblOffset val="100"/>
        <noMultiLvlLbl val="0"/>
      </catAx>
      <valAx>
        <axId val="27430387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29829375"/>
        <crosses val="max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19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Comparaison visuelle des offres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radarChart>
        <radarStyle val="marker"/>
        <varyColors val="0"/>
        <ser>
          <idx val="0"/>
          <order val="0"/>
          <tx>
            <strRef>
              <f>'Comparateur Offres'!$D$6</f>
              <strCache>
                <ptCount val="1"/>
                <pt idx="0">
                  <v>Offre A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19080">
              <a:solidFill>
                <a:srgbClr val="4f81bd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'Comparateur Offres'!$B$7:$B$12</f>
              <strCache>
                <ptCount val="6"/>
                <pt idx="0">
                  <v>Salaire proposé (net mensuel, monnaie locale)</v>
                </pt>
                <pt idx="1">
                  <v>Distance / trajet domicile-travail</v>
                </pt>
                <pt idx="2">
                  <v>Équilibre vie pro/perso ressenti</v>
                </pt>
                <pt idx="3">
                  <v>Perspectives d'évolution</v>
                </pt>
                <pt idx="4">
                  <v>Réputation / stabilité de l'entreprise</v>
                </pt>
                <pt idx="5">
                  <v>Intérêt technique du poste</v>
                </pt>
              </strCache>
            </strRef>
          </cat>
          <val>
            <numRef>
              <f>'Comparateur Offres'!$D$7:$D$12</f>
              <numCache>
                <formatCode>General</formatCode>
                <ptCount val="6"/>
                <pt idx="0">
                  <v>5</v>
                </pt>
                <pt idx="1">
                  <v>5</v>
                </pt>
                <pt idx="2">
                  <v>5</v>
                </pt>
                <pt idx="3">
                  <v>5</v>
                </pt>
                <pt idx="4">
                  <v>5</v>
                </pt>
                <pt idx="5">
                  <v>5</v>
                </pt>
              </numCache>
            </numRef>
          </val>
        </ser>
        <axId val="47821780"/>
        <axId val="42019497"/>
      </radarChart>
      <catAx>
        <axId val="47821780"/>
        <scaling>
          <orientation val="minMax"/>
        </scaling>
        <delete val="0"/>
        <axPos val="b"/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42019497"/>
        <crosses val="autoZero"/>
        <auto val="1"/>
        <lblAlgn val="ctr"/>
        <lblOffset val="100"/>
        <noMultiLvlLbl val="0"/>
      </catAx>
      <valAx>
        <axId val="42019497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47821780"/>
        <crosses val="autoZero"/>
        <crossBetween val="midCat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Taux de reponse global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doughnutChart>
        <varyColors val="1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explosion val="0"/>
          <dPt>
            <idx val="0"/>
            <spPr>
              <a:solidFill xmlns:a="http://schemas.openxmlformats.org/drawingml/2006/main">
                <a:srgbClr val="698fc2"/>
              </a:solidFill>
              <a:ln xmlns:a="http://schemas.openxmlformats.org/drawingml/2006/main" w="0">
                <a:noFill/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56a68"/>
              </a:solidFill>
              <a:ln xmlns:a="http://schemas.openxmlformats.org/drawingml/2006/main" w="0">
                <a:noFill/>
                <a:prstDash val="solid"/>
              </a:ln>
            </spPr>
          </dPt>
          <dLbls>
            <dLbl>
              <idx val="0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showLegendKey val="0"/>
              <showVal val="0"/>
              <showCatName val="0"/>
              <showSerName val="0"/>
              <showPercent val="0"/>
            </dLbl>
            <dLbl>
              <idx val="1"/>
              <txPr>
                <a:bodyPr xmlns:a="http://schemas.openxmlformats.org/drawingml/2006/main" wrap="square"/>
                <a:lstStyle xmlns:a="http://schemas.openxmlformats.org/drawingml/2006/main"/>
                <a:p xmlns:a="http://schemas.openxmlformats.org/drawingml/2006/main"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  <a:ea typeface="Calibri"/>
                    </a:defRPr>
                  </a:pPr>
                  <a:r>
                    <a:t/>
                  </a:r>
                </a:p>
              </txPr>
              <showLegendKey val="0"/>
              <showVal val="0"/>
              <showCatName val="0"/>
              <showSerName val="0"/>
              <showPercent val="0"/>
            </dLbl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0"/>
            <showLeaderLines val="1"/>
          </dLbls>
          <val>
            <numRef>
              <f>Dashboard!$R$200:$R$201</f>
              <numCache>
                <formatCode>0%</formatCode>
                <ptCount val="2"/>
                <pt idx="0">
                  <v>0.325581395348837</v>
                </pt>
                <pt idx="1">
                  <v>0.674418604651163</v>
                </pt>
              </numCache>
            </numRef>
          </val>
        </ser>
        <firstSliceAng val="0"/>
        <holeSize val="50"/>
      </doughnutChart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20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Reussites par categorie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bar"/>
        <grouping val="clustered"/>
        <varyColors val="0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'Banque Reussites'!$B$29:$B$34</f>
              <strCache>
                <ptCount val="6"/>
                <pt idx="0">
                  <v>Technique</v>
                </pt>
                <pt idx="1">
                  <v>Leadership</v>
                </pt>
                <pt idx="2">
                  <v>Communication</v>
                </pt>
                <pt idx="3">
                  <v>Resolution de probleme</v>
                </pt>
                <pt idx="4">
                  <v>Gestion de projet</v>
                </pt>
                <pt idx="5">
                  <v>Relation client/fournisseur</v>
                </pt>
              </strCache>
            </strRef>
          </cat>
          <val>
            <numRef>
              <f>'Banque Reussites'!$C$29:$C$34</f>
              <numCache>
                <formatCode>General</formatCode>
                <ptCount val="6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0</v>
                </pt>
              </numCache>
            </numRef>
          </val>
        </ser>
        <gapWidth val="150"/>
        <overlap val="0"/>
        <axId val="38373407"/>
        <axId val="70302090"/>
      </barChart>
      <catAx>
        <axId val="38373407"/>
        <scaling>
          <orientation val="maxMin"/>
        </scaling>
        <delete val="0"/>
        <axPos val="b"/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70302090"/>
        <crosses val="autoZero"/>
        <auto val="1"/>
        <lblAlgn val="ctr"/>
        <lblOffset val="100"/>
        <noMultiLvlLbl val="0"/>
      </catAx>
      <valAx>
        <axId val="70302090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38373407"/>
        <crosses val="max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Top villes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bar"/>
        <grouping val="clustered"/>
        <varyColors val="0"/>
        <ser>
          <idx val="0"/>
          <order val="0"/>
          <tx>
            <strRef>
              <f>"Candidatures"</f>
              <strCache>
                <ptCount val="1"/>
                <pt idx="0">
                  <v>Candidatures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Dashboard!$H$58:$H$65</f>
              <strCache>
                <ptCount val="8"/>
                <pt idx="0">
                  <v>Meadowbrook</v>
                </pt>
                <pt idx="1">
                  <v>Countryside</v>
                </pt>
                <pt idx="2">
                  <v>Lakeside</v>
                </pt>
                <pt idx="3">
                  <v>Fairview</v>
                </pt>
                <pt idx="4">
                  <v>Ashborough</v>
                </pt>
                <pt idx="5">
                  <v>Central District</v>
                </pt>
                <pt idx="6">
                  <v>Riverbend</v>
                </pt>
                <pt idx="7">
                  <v>Southbridge</v>
                </pt>
              </strCache>
            </strRef>
          </cat>
          <val>
            <numRef>
              <f>Dashboard!$I$58:$I$65</f>
              <numCache>
                <formatCode>General</formatCode>
                <ptCount val="8"/>
                <pt idx="0">
                  <v>9</v>
                </pt>
                <pt idx="1">
                  <v>7</v>
                </pt>
                <pt idx="2">
                  <v>6</v>
                </pt>
                <pt idx="3">
                  <v>4</v>
                </pt>
                <pt idx="4">
                  <v>3</v>
                </pt>
                <pt idx="5">
                  <v>2</v>
                </pt>
                <pt idx="6">
                  <v>2</v>
                </pt>
                <pt idx="7">
                  <v>2</v>
                </pt>
              </numCache>
            </numRef>
          </val>
        </ser>
        <gapWidth val="150"/>
        <overlap val="0"/>
        <axId val="87858208"/>
        <axId val="19457250"/>
      </barChart>
      <catAx>
        <axId val="87858208"/>
        <scaling>
          <orientation val="maxMin"/>
        </scaling>
        <delete val="0"/>
        <axPos val="b"/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19457250"/>
        <crosses val="autoZero"/>
        <auto val="1"/>
        <lblAlgn val="ctr"/>
        <lblOffset val="100"/>
        <noMultiLvlLbl val="0"/>
      </catAx>
      <valAx>
        <axId val="19457250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87858208"/>
        <crosses val="max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Statut par semaine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stacked"/>
        <varyColors val="0"/>
        <ser>
          <idx val="0"/>
          <order val="0"/>
          <tx>
            <strRef>
              <f>"Candidatures"</f>
              <strCache>
                <ptCount val="1"/>
                <pt idx="0">
                  <v>Candidatures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ct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'Suivi Hebdo'!$B$6:$B$17</f>
              <strCache>
                <ptCount val="12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  <pt idx="6">
                  <v>S7</v>
                </pt>
                <pt idx="7">
                  <v>S8</v>
                </pt>
                <pt idx="8">
                  <v>S9</v>
                </pt>
                <pt idx="9">
                  <v>S10</v>
                </pt>
                <pt idx="10">
                  <v>S11</v>
                </pt>
                <pt idx="11">
                  <v>S12</v>
                </pt>
              </strCache>
            </strRef>
          </cat>
          <val>
            <numRef>
              <f>'Suivi Hebdo'!$D$6:$D$17</f>
              <numCache>
                <formatCode>General</formatCode>
                <ptCount val="12"/>
                <pt idx="0">
                  <v>21</v>
                </pt>
                <pt idx="1">
                  <v>22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  <pt idx="10">
                  <v>0</v>
                </pt>
                <pt idx="11">
                  <v>0</v>
                </pt>
              </numCache>
            </numRef>
          </val>
        </ser>
        <ser>
          <idx val="1"/>
          <order val="1"/>
          <tx>
            <strRef>
              <f>"Entretiens"</f>
              <strCache>
                <ptCount val="1"/>
                <pt idx="0">
                  <v>Entretiens</v>
                </pt>
              </strCache>
            </strRef>
          </tx>
          <spPr>
            <a:solidFill xmlns:a="http://schemas.openxmlformats.org/drawingml/2006/main">
              <a:srgbClr val="c0504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ct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'Suivi Hebdo'!$B$6:$B$17</f>
              <strCache>
                <ptCount val="12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  <pt idx="6">
                  <v>S7</v>
                </pt>
                <pt idx="7">
                  <v>S8</v>
                </pt>
                <pt idx="8">
                  <v>S9</v>
                </pt>
                <pt idx="9">
                  <v>S10</v>
                </pt>
                <pt idx="10">
                  <v>S11</v>
                </pt>
                <pt idx="11">
                  <v>S12</v>
                </pt>
              </strCache>
            </strRef>
          </cat>
          <val>
            <numRef>
              <f>'Suivi Hebdo'!$E$6:$E$17</f>
              <numCache>
                <formatCode>General</formatCode>
                <ptCount val="12"/>
                <pt idx="0">
                  <v>0</v>
                </pt>
                <pt idx="1">
                  <v>1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  <pt idx="10">
                  <v>0</v>
                </pt>
                <pt idx="11">
                  <v>0</v>
                </pt>
              </numCache>
            </numRef>
          </val>
        </ser>
        <ser>
          <idx val="2"/>
          <order val="2"/>
          <tx>
            <strRef>
              <f>"Refus"</f>
              <strCache>
                <ptCount val="1"/>
                <pt idx="0">
                  <v>Refus</v>
                </pt>
              </strCache>
            </strRef>
          </tx>
          <spPr>
            <a:solidFill xmlns:a="http://schemas.openxmlformats.org/drawingml/2006/main">
              <a:srgbClr val="9bbb59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ctr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'Suivi Hebdo'!$B$6:$B$17</f>
              <strCache>
                <ptCount val="12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  <pt idx="6">
                  <v>S7</v>
                </pt>
                <pt idx="7">
                  <v>S8</v>
                </pt>
                <pt idx="8">
                  <v>S9</v>
                </pt>
                <pt idx="9">
                  <v>S10</v>
                </pt>
                <pt idx="10">
                  <v>S11</v>
                </pt>
                <pt idx="11">
                  <v>S12</v>
                </pt>
              </strCache>
            </strRef>
          </cat>
          <val>
            <numRef>
              <f>'Suivi Hebdo'!$F$6:$F$17</f>
              <numCache>
                <formatCode>General</formatCode>
                <ptCount val="12"/>
                <pt idx="0">
                  <v>9</v>
                </pt>
                <pt idx="1">
                  <v>4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0</v>
                </pt>
                <pt idx="8">
                  <v>0</v>
                </pt>
                <pt idx="9">
                  <v>0</v>
                </pt>
                <pt idx="10">
                  <v>0</v>
                </pt>
                <pt idx="11">
                  <v>0</v>
                </pt>
              </numCache>
            </numRef>
          </val>
        </ser>
        <gapWidth val="150"/>
        <overlap val="100"/>
        <axId val="12115269"/>
        <axId val="93204789"/>
      </barChart>
      <catAx>
        <axId val="12115269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93204789"/>
        <crosses val="autoZero"/>
        <auto val="1"/>
        <lblAlgn val="ctr"/>
        <lblOffset val="100"/>
        <noMultiLvlLbl val="0"/>
      </catAx>
      <valAx>
        <axId val="93204789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12115269"/>
        <crosses val="autoZero"/>
        <crossBetween val="between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Cumul de candidatures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areaChart>
        <grouping val="standard"/>
        <ser>
          <idx val="0"/>
          <order val="0"/>
          <tx>
            <strRef>
              <f>"Cumul"</f>
              <strCache>
                <ptCount val="1"/>
                <pt idx="0">
                  <v>Cumul</v>
                </pt>
              </strCache>
            </strRef>
          </tx>
          <spPr>
            <a:solidFill xmlns:a="http://schemas.openxmlformats.org/drawingml/2006/main">
              <a:srgbClr val="9bbb59"/>
            </a:solidFill>
            <a:ln xmlns:a="http://schemas.openxmlformats.org/drawingml/2006/main" w="0">
              <a:solidFill>
                <a:srgbClr val="9bbb59"/>
              </a:solidFill>
              <a:prstDash val="solid"/>
            </a:ln>
          </spP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'Suivi Hebdo'!$B$6:$B$17</f>
              <strCache>
                <ptCount val="12"/>
                <pt idx="0">
                  <v>S1</v>
                </pt>
                <pt idx="1">
                  <v>S2</v>
                </pt>
                <pt idx="2">
                  <v>S3</v>
                </pt>
                <pt idx="3">
                  <v>S4</v>
                </pt>
                <pt idx="4">
                  <v>S5</v>
                </pt>
                <pt idx="5">
                  <v>S6</v>
                </pt>
                <pt idx="6">
                  <v>S7</v>
                </pt>
                <pt idx="7">
                  <v>S8</v>
                </pt>
                <pt idx="8">
                  <v>S9</v>
                </pt>
                <pt idx="9">
                  <v>S10</v>
                </pt>
                <pt idx="10">
                  <v>S11</v>
                </pt>
                <pt idx="11">
                  <v>S12</v>
                </pt>
              </strCache>
            </strRef>
          </cat>
          <val>
            <numRef>
              <f>'Suivi Hebdo'!$H$6:$H$17</f>
              <numCache>
                <formatCode>General</formatCode>
                <ptCount val="12"/>
                <pt idx="0">
                  <v>21</v>
                </pt>
                <pt idx="1">
                  <v>43</v>
                </pt>
                <pt idx="2">
                  <v>43</v>
                </pt>
                <pt idx="3">
                  <v>43</v>
                </pt>
                <pt idx="4">
                  <v>43</v>
                </pt>
                <pt idx="5">
                  <v>43</v>
                </pt>
                <pt idx="6">
                  <v>43</v>
                </pt>
                <pt idx="7">
                  <v>43</v>
                </pt>
                <pt idx="8">
                  <v>43</v>
                </pt>
                <pt idx="9">
                  <v>43</v>
                </pt>
                <pt idx="10">
                  <v>43</v>
                </pt>
                <pt idx="11">
                  <v>43</v>
                </pt>
              </numCache>
            </numRef>
          </val>
        </ser>
        <axId val="10"/>
        <axId val="100"/>
      </area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Taux de reponse par ville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"Taux réponse"</f>
              <strCache>
                <ptCount val="1"/>
                <pt idx="0">
                  <v>Taux réponse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Dashboard!$H$58:$H$65</f>
              <strCache>
                <ptCount val="8"/>
                <pt idx="0">
                  <v>Meadowbrook</v>
                </pt>
                <pt idx="1">
                  <v>Countryside</v>
                </pt>
                <pt idx="2">
                  <v>Lakeside</v>
                </pt>
                <pt idx="3">
                  <v>Fairview</v>
                </pt>
                <pt idx="4">
                  <v>Ashborough</v>
                </pt>
                <pt idx="5">
                  <v>Central District</v>
                </pt>
                <pt idx="6">
                  <v>Riverbend</v>
                </pt>
                <pt idx="7">
                  <v>Southbridge</v>
                </pt>
              </strCache>
            </strRef>
          </cat>
          <val>
            <numRef>
              <f>Dashboard!$J$58:$J$65</f>
              <numCache>
                <formatCode>0%</formatCode>
                <ptCount val="8"/>
                <pt idx="0">
                  <v>0.333333333333333</v>
                </pt>
                <pt idx="1">
                  <v>0</v>
                </pt>
                <pt idx="2">
                  <v>0.166666666666667</v>
                </pt>
                <pt idx="3">
                  <v>0.25</v>
                </pt>
                <pt idx="4">
                  <v>1</v>
                </pt>
                <pt idx="5">
                  <v>0.5</v>
                </pt>
                <pt idx="6">
                  <v>0.5</v>
                </pt>
                <pt idx="7">
                  <v>0</v>
                </pt>
              </numCache>
            </numRef>
          </val>
        </ser>
        <gapWidth val="150"/>
        <overlap val="0"/>
        <axId val="34572289"/>
        <axId val="12438835"/>
      </barChart>
      <catAx>
        <axId val="34572289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12438835"/>
        <crosses val="autoZero"/>
        <auto val="1"/>
        <lblAlgn val="ctr"/>
        <lblOffset val="100"/>
        <noMultiLvlLbl val="0"/>
      </catAx>
      <valAx>
        <axId val="12438835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0%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34572289"/>
        <crosses val="autoZero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7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Priorite vs anciennete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scatterChart>
        <scatterStyle val="lineMarker"/>
        <varyColors val="0"/>
        <ser>
          <idx val="0"/>
          <order val="0"/>
          <tx>
            <strRef>
              <f>"Candidatures"</f>
              <strCache>
                <ptCount val="1"/>
                <pt idx="0">
                  <v>Candidatures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19080">
              <a:noFill/>
              <a:prstDash val="solid"/>
            </a:ln>
          </spPr>
          <marker>
            <symbol val="circle"/>
            <size val="7"/>
            <spPr>
              <a:solidFill xmlns:a="http://schemas.openxmlformats.org/drawingml/2006/main">
                <a:srgbClr val="4f81bd"/>
              </a:solidFill>
              <a:ln xmlns:a="http://schemas.openxmlformats.org/drawingml/2006/main">
                <a:prstDash val="solid"/>
              </a:ln>
            </spPr>
          </marker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t/>
                </a:r>
              </a:p>
            </txPr>
            <dLblPos val="r"/>
            <showLegendKey val="0"/>
            <showVal val="0"/>
            <showCatName val="0"/>
            <showSerName val="0"/>
            <showPercent val="0"/>
            <showLeaderLines val="1"/>
          </dLbls>
          <xVal>
            <numRef>
              <f>Applications!$N$6:$N$48</f>
              <numCache>
                <formatCode>General</formatCode>
                <ptCount val="43"/>
                <pt idx="0">
                  <v>12</v>
                </pt>
                <pt idx="1">
                  <v>12</v>
                </pt>
                <pt idx="2">
                  <v>12</v>
                </pt>
                <pt idx="3">
                  <v>12</v>
                </pt>
                <pt idx="4">
                  <v>12</v>
                </pt>
                <pt idx="5">
                  <v>12</v>
                </pt>
                <pt idx="6">
                  <v>12</v>
                </pt>
                <pt idx="7">
                  <v>12</v>
                </pt>
                <pt idx="8">
                  <v>12</v>
                </pt>
                <pt idx="9">
                  <v>12</v>
                </pt>
                <pt idx="10">
                  <v>11</v>
                </pt>
                <pt idx="11">
                  <v>11</v>
                </pt>
                <pt idx="12">
                  <v>11</v>
                </pt>
                <pt idx="13">
                  <v>11</v>
                </pt>
                <pt idx="14">
                  <v>11</v>
                </pt>
                <pt idx="15">
                  <v>11</v>
                </pt>
                <pt idx="16">
                  <v>11</v>
                </pt>
                <pt idx="17">
                  <v>11</v>
                </pt>
                <pt idx="18">
                  <v>11</v>
                </pt>
                <pt idx="19">
                  <v>11</v>
                </pt>
                <pt idx="20">
                  <v>11</v>
                </pt>
                <pt idx="21">
                  <v>9</v>
                </pt>
                <pt idx="22">
                  <v>9</v>
                </pt>
                <pt idx="23">
                  <v>9</v>
                </pt>
                <pt idx="24">
                  <v>9</v>
                </pt>
                <pt idx="25">
                  <v>9</v>
                </pt>
                <pt idx="26">
                  <v>9</v>
                </pt>
                <pt idx="27">
                  <v>9</v>
                </pt>
                <pt idx="28">
                  <v>9</v>
                </pt>
                <pt idx="29">
                  <v>9</v>
                </pt>
                <pt idx="30">
                  <v>9</v>
                </pt>
                <pt idx="31">
                  <v>8</v>
                </pt>
                <pt idx="32">
                  <v>8</v>
                </pt>
                <pt idx="33">
                  <v>8</v>
                </pt>
                <pt idx="34">
                  <v>6</v>
                </pt>
                <pt idx="35">
                  <v>6</v>
                </pt>
                <pt idx="36">
                  <v>6</v>
                </pt>
                <pt idx="37">
                  <v>6</v>
                </pt>
                <pt idx="38">
                  <v>6</v>
                </pt>
                <pt idx="39">
                  <v>5</v>
                </pt>
                <pt idx="40">
                  <v>5</v>
                </pt>
                <pt idx="41">
                  <v>5</v>
                </pt>
                <pt idx="42">
                  <v>5</v>
                </pt>
              </numCache>
            </numRef>
          </xVal>
          <yVal>
            <numRef>
              <f>Applications!$R$6:$R$48</f>
              <numCache>
                <formatCode>General</formatCode>
                <ptCount val="43"/>
                <pt idx="0">
                  <v>59</v>
                </pt>
                <pt idx="1">
                  <v>54</v>
                </pt>
                <pt idx="2">
                  <v>44</v>
                </pt>
                <pt idx="3">
                  <v>49</v>
                </pt>
                <pt idx="4">
                  <v>0</v>
                </pt>
                <pt idx="5">
                  <v>0</v>
                </pt>
                <pt idx="6">
                  <v>0</v>
                </pt>
                <pt idx="7">
                  <v>44</v>
                </pt>
                <pt idx="8">
                  <v>0</v>
                </pt>
                <pt idx="9">
                  <v>0</v>
                </pt>
                <pt idx="10">
                  <v>42</v>
                </pt>
                <pt idx="11">
                  <v>0</v>
                </pt>
                <pt idx="12">
                  <v>0</v>
                </pt>
                <pt idx="13">
                  <v>52</v>
                </pt>
                <pt idx="14">
                  <v>0</v>
                </pt>
                <pt idx="15">
                  <v>42</v>
                </pt>
                <pt idx="16">
                  <v>42</v>
                </pt>
                <pt idx="17">
                  <v>52</v>
                </pt>
                <pt idx="18">
                  <v>0</v>
                </pt>
                <pt idx="19">
                  <v>47</v>
                </pt>
                <pt idx="20">
                  <v>47</v>
                </pt>
                <pt idx="21">
                  <v>48</v>
                </pt>
                <pt idx="22">
                  <v>48</v>
                </pt>
                <pt idx="23">
                  <v>48</v>
                </pt>
                <pt idx="24">
                  <v>48</v>
                </pt>
                <pt idx="25">
                  <v>48</v>
                </pt>
                <pt idx="26">
                  <v>48</v>
                </pt>
                <pt idx="27">
                  <v>0</v>
                </pt>
                <pt idx="28">
                  <v>48</v>
                </pt>
                <pt idx="29">
                  <v>48</v>
                </pt>
                <pt idx="30">
                  <v>48</v>
                </pt>
                <pt idx="31">
                  <v>46</v>
                </pt>
                <pt idx="32">
                  <v>46</v>
                </pt>
                <pt idx="33">
                  <v>90</v>
                </pt>
                <pt idx="34">
                  <v>0</v>
                </pt>
                <pt idx="35">
                  <v>0</v>
                </pt>
                <pt idx="36">
                  <v>32</v>
                </pt>
                <pt idx="37">
                  <v>0</v>
                </pt>
                <pt idx="38">
                  <v>42</v>
                </pt>
                <pt idx="39">
                  <v>35</v>
                </pt>
                <pt idx="40">
                  <v>30</v>
                </pt>
                <pt idx="41">
                  <v>30</v>
                </pt>
                <pt idx="42">
                  <v>40</v>
                </pt>
              </numCache>
            </numRef>
          </yVal>
          <smooth val="1"/>
        </ser>
        <axId val="74322761"/>
        <axId val="20391220"/>
      </scatterChart>
      <valAx>
        <axId val="74322761"/>
        <scaling>
          <orientation val="minMax"/>
        </scaling>
        <delete val="0"/>
        <axPos val="b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Jours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20391220"/>
        <crosses val="autoZero"/>
        <crossBetween val="midCat"/>
      </valAx>
      <valAx>
        <axId val="20391220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Score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74322761"/>
        <crosses val="autoZero"/>
        <crossBetween val="midCat"/>
      </valAx>
    </plotArea>
    <legend>
      <legendPos val="r"/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  <txPr>
        <a:bodyPr xmlns:a="http://schemas.openxmlformats.org/drawingml/2006/main"/>
        <a:lstStyle xmlns:a="http://schemas.openxmlformats.org/drawingml/2006/main"/>
        <a:p xmlns:a="http://schemas.openxmlformats.org/drawingml/2006/main">
          <a:pPr>
            <a:defRPr sz="1000" b="0" strike="noStrike" spc="-1">
              <a:solidFill>
                <a:srgbClr val="000000"/>
              </a:solidFill>
              <a:latin typeface="Calibri"/>
              <a:ea typeface="Calibri"/>
            </a:defRPr>
          </a:pPr>
          <a:r>
            <a:t/>
          </a:r>
        </a:p>
      </txPr>
    </legend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8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Sante de la recherche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bar"/>
        <grouping val="clustered"/>
        <varyColors val="0"/>
        <ser>
          <idx val="0"/>
          <order val="0"/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'Analyse Avancée'!$H$32:$H$35</f>
              <strCache>
                <ptCount val="4"/>
                <pt idx="0">
                  <v>Taux de réponse</v>
                </pt>
                <pt idx="1">
                  <v>Taux d'entretien</v>
                </pt>
                <pt idx="2">
                  <v>Rythme hebdo (vs objectif)</v>
                </pt>
                <pt idx="3">
                  <v>Fraîcheur des candidatures</v>
                </pt>
              </strCache>
            </strRef>
          </cat>
          <val>
            <numRef>
              <f>'Analyse Avancée'!$I$32:$I$35</f>
              <numCache>
                <formatCode>General</formatCode>
                <ptCount val="4"/>
                <pt idx="0">
                  <v>97.67441860465119</v>
                </pt>
                <pt idx="1">
                  <v>10.3448275862069</v>
                </pt>
                <pt idx="2">
                  <v>0</v>
                </pt>
                <pt idx="3">
                  <v>71.7441860465116</v>
                </pt>
              </numCache>
            </numRef>
          </val>
        </ser>
        <gapWidth val="150"/>
        <overlap val="0"/>
        <axId val="83333001"/>
        <axId val="63004734"/>
      </barChart>
      <catAx>
        <axId val="83333001"/>
        <scaling>
          <orientation val="maxMin"/>
        </scaling>
        <delete val="0"/>
        <axPos val="b"/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63004734"/>
        <crosses val="autoZero"/>
        <auto val="1"/>
        <lblAlgn val="ctr"/>
        <lblOffset val="100"/>
        <noMultiLvlLbl val="0"/>
      </catAx>
      <valAx>
        <axId val="63004734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83333001"/>
        <crosses val="max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charts/chart9.xml><?xml version="1.0" encoding="utf-8"?>
<chartSpace xmlns="http://schemas.openxmlformats.org/drawingml/2006/chart">
  <chart>
    <title>
      <tx>
        <rich>
          <a:bodyPr xmlns:a="http://schemas.openxmlformats.org/drawingml/2006/main" rot="0"/>
          <a:lstStyle xmlns:a="http://schemas.openxmlformats.org/drawingml/2006/main"/>
          <a:p xmlns:a="http://schemas.openxmlformats.org/drawingml/2006/main">
            <a:pPr>
              <a:defRPr sz="1800" b="1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  <a:ea typeface="Calibri"/>
              </a:rPr>
              <a:t>Candidatures par mois</a:t>
            </a:r>
          </a:p>
        </rich>
      </tx>
      <overlay val="0"/>
      <spPr>
        <a:noFill xmlns:a="http://schemas.openxmlformats.org/drawingml/2006/main"/>
        <a:ln xmlns:a="http://schemas.openxmlformats.org/drawingml/2006/main" w="0">
          <a:noFill/>
          <a:prstDash val="solid"/>
        </a:ln>
      </spPr>
    </title>
    <plotArea>
      <barChart>
        <barDir val="col"/>
        <grouping val="clustered"/>
        <varyColors val="0"/>
        <ser>
          <idx val="0"/>
          <order val="0"/>
          <tx>
            <strRef>
              <f>"Candidatures"</f>
              <strCache>
                <ptCount val="1"/>
                <pt idx="0">
                  <v>Candidatures</v>
                </pt>
              </strCache>
            </strRef>
          </tx>
          <spPr>
            <a:solidFill xmlns:a="http://schemas.openxmlformats.org/drawingml/2006/main">
              <a:srgbClr val="4f81bd"/>
            </a:solidFill>
            <a:ln xmlns:a="http://schemas.openxmlformats.org/drawingml/2006/main" w="0">
              <a:noFill/>
              <a:prstDash val="solid"/>
            </a:ln>
          </spPr>
          <invertIfNegative val="0"/>
          <dLbls>
            <txPr>
              <a:bodyPr xmlns:a="http://schemas.openxmlformats.org/drawingml/2006/main" wrap="square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Calibri"/>
                  </a:defRPr>
                </a:pPr>
                <a:r>
                  <a:t/>
                </a:r>
              </a:p>
            </txPr>
            <dLblPos val="outEnd"/>
            <showLegendKey val="0"/>
            <showVal val="0"/>
            <showCatName val="0"/>
            <showSerName val="0"/>
            <showPercent val="0"/>
            <showLeaderLines val="1"/>
          </dLbls>
          <cat>
            <strRef>
              <f>Dashboard!$B$123:$B$128</f>
              <strCache>
                <ptCount val="6"/>
                <pt idx="0">
                  <v>Feb 26</v>
                </pt>
                <pt idx="1">
                  <v>Mar 26</v>
                </pt>
                <pt idx="2">
                  <v>Apr 26</v>
                </pt>
                <pt idx="3">
                  <v>May 26</v>
                </pt>
                <pt idx="4">
                  <v>Jun 26</v>
                </pt>
                <pt idx="5">
                  <v>Jul 26</v>
                </pt>
              </strCache>
            </strRef>
          </cat>
          <val>
            <numRef>
              <f>Dashboard!$C$123:$C$128</f>
              <numCache>
                <formatCode>General</formatCode>
                <ptCount val="6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  <pt idx="4">
                  <v>0</v>
                </pt>
                <pt idx="5">
                  <v>43</v>
                </pt>
              </numCache>
            </numRef>
          </val>
        </ser>
        <gapWidth val="150"/>
        <overlap val="0"/>
        <axId val="67843474"/>
        <axId val="45511523"/>
      </barChart>
      <catAx>
        <axId val="67843474"/>
        <scaling>
          <orientation val="minMax"/>
        </scaling>
        <delete val="0"/>
        <axPos val="b"/>
        <title>
          <tx>
            <rich>
              <a:bodyPr xmlns:a="http://schemas.openxmlformats.org/drawingml/2006/main" rot="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45511523"/>
        <crosses val="autoZero"/>
        <auto val="1"/>
        <lblAlgn val="ctr"/>
        <lblOffset val="100"/>
        <noMultiLvlLbl val="0"/>
      </catAx>
      <valAx>
        <axId val="45511523"/>
        <scaling>
          <orientation val="minMax"/>
        </scaling>
        <delete val="0"/>
        <axPos val="l"/>
        <majorGridlines>
          <spPr>
            <a:ln xmlns:a="http://schemas.openxmlformats.org/drawingml/2006/main" w="6480">
              <a:solidFill>
                <a:srgbClr val="b7b7b7"/>
              </a:solidFill>
              <a:prstDash val="solid"/>
              <a:round/>
            </a:ln>
          </spPr>
        </majorGridlines>
        <title>
          <tx>
            <rich>
              <a:bodyPr xmlns:a="http://schemas.openxmlformats.org/drawingml/2006/main" rot="-5400000"/>
              <a:lstStyle xmlns:a="http://schemas.openxmlformats.org/drawingml/2006/main"/>
              <a:p xmlns:a="http://schemas.openxmlformats.org/drawingml/2006/main"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  <a:r>
                  <a:rPr sz="1000" b="0" strike="noStrike" spc="-1">
                    <a:solidFill>
                      <a:srgbClr val="000000"/>
                    </a:solidFill>
                    <a:latin typeface="Calibri"/>
                    <a:ea typeface="Calibri"/>
                  </a:rPr>
                  <a:t>None</a:t>
                </a:r>
              </a:p>
            </rich>
          </tx>
          <overlay val="0"/>
          <spPr>
            <a:noFill xmlns:a="http://schemas.openxmlformats.org/drawingml/2006/main"/>
            <a:ln xmlns:a="http://schemas.openxmlformats.org/drawingml/2006/main" w="0">
              <a:noFill/>
              <a:prstDash val="solid"/>
            </a:ln>
          </spPr>
        </title>
        <numFmt formatCode="General" sourceLinked="0"/>
        <majorTickMark val="none"/>
        <minorTickMark val="none"/>
        <tickLblPos val="nextTo"/>
        <spPr>
          <a:ln xmlns:a="http://schemas.openxmlformats.org/drawingml/2006/main" w="6480">
            <a:noFill/>
            <a:prstDash val="solid"/>
          </a:ln>
        </spPr>
        <txPr>
          <a:bodyPr xmlns:a="http://schemas.openxmlformats.org/drawingml/2006/main"/>
          <a:lstStyle xmlns:a="http://schemas.openxmlformats.org/drawingml/2006/main"/>
          <a:p xmlns:a="http://schemas.openxmlformats.org/drawingml/2006/main">
            <a:pPr>
              <a:defRPr sz="1000" b="0" strike="noStrike" spc="-1">
                <a:solidFill>
                  <a:srgbClr val="000000"/>
                </a:solidFill>
                <a:latin typeface="Calibri"/>
                <a:ea typeface="Calibri"/>
              </a:defRPr>
            </a:pPr>
            <a:r>
              <a:t/>
            </a:r>
          </a:p>
        </txPr>
        <crossAx val="67843474"/>
        <crosses val="autoZero"/>
        <crossBetween val="between"/>
      </valAx>
    </plotArea>
    <plotVisOnly val="1"/>
    <dispBlanksAs val="zero"/>
  </chart>
  <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chart" Target="/xl/charts/chart5.xml" Id="rId5"/><Relationship Type="http://schemas.openxmlformats.org/officeDocument/2006/relationships/chart" Target="/xl/charts/chart6.xml" Id="rId6"/><Relationship Type="http://schemas.openxmlformats.org/officeDocument/2006/relationships/chart" Target="/xl/charts/chart7.xml" Id="rId7"/><Relationship Type="http://schemas.openxmlformats.org/officeDocument/2006/relationships/chart" Target="/xl/charts/chart8.xml" Id="rId8"/><Relationship Type="http://schemas.openxmlformats.org/officeDocument/2006/relationships/chart" Target="/xl/charts/chart9.xml" Id="rId9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0.xml" Id="rId1"/></Relationships>
</file>

<file path=xl/drawings/_rels/drawing3.xml.rels><Relationships xmlns="http://schemas.openxmlformats.org/package/2006/relationships"><Relationship Type="http://schemas.openxmlformats.org/officeDocument/2006/relationships/chart" Target="/xl/charts/chart11.xml" Id="rId1"/><Relationship Type="http://schemas.openxmlformats.org/officeDocument/2006/relationships/chart" Target="/xl/charts/chart12.xml" Id="rId2"/></Relationships>
</file>

<file path=xl/drawings/_rels/drawing4.xml.rels><Relationships xmlns="http://schemas.openxmlformats.org/package/2006/relationships"><Relationship Type="http://schemas.openxmlformats.org/officeDocument/2006/relationships/chart" Target="/xl/charts/chart13.xml" Id="rId1"/><Relationship Type="http://schemas.openxmlformats.org/officeDocument/2006/relationships/chart" Target="/xl/charts/chart14.xml" Id="rId2"/><Relationship Type="http://schemas.openxmlformats.org/officeDocument/2006/relationships/chart" Target="/xl/charts/chart15.xml" Id="rId3"/><Relationship Type="http://schemas.openxmlformats.org/officeDocument/2006/relationships/chart" Target="/xl/charts/chart16.xml" Id="rId4"/></Relationships>
</file>

<file path=xl/drawings/_rels/drawing5.xml.rels><Relationships xmlns="http://schemas.openxmlformats.org/package/2006/relationships"><Relationship Type="http://schemas.openxmlformats.org/officeDocument/2006/relationships/chart" Target="/xl/charts/chart17.xml" Id="rId1"/></Relationships>
</file>

<file path=xl/drawings/_rels/drawing6.xml.rels><Relationships xmlns="http://schemas.openxmlformats.org/package/2006/relationships"><Relationship Type="http://schemas.openxmlformats.org/officeDocument/2006/relationships/chart" Target="/xl/charts/chart18.xml" Id="rId1"/></Relationships>
</file>

<file path=xl/drawings/_rels/drawing7.xml.rels><Relationships xmlns="http://schemas.openxmlformats.org/package/2006/relationships"><Relationship Type="http://schemas.openxmlformats.org/officeDocument/2006/relationships/chart" Target="/xl/charts/chart19.xml" Id="rId1"/></Relationships>
</file>

<file path=xl/drawings/_rels/drawing8.xml.rels><Relationships xmlns="http://schemas.openxmlformats.org/package/2006/relationships"><Relationship Type="http://schemas.openxmlformats.org/officeDocument/2006/relationships/chart" Target="/xl/charts/chart20.xml" Id="rId1"/></Relationships>
</file>

<file path=xl/drawings/drawing1.xml><?xml version="1.0" encoding="utf-8"?>
<wsDr xmlns="http://schemas.openxmlformats.org/drawingml/2006/spreadsheetDrawing">
  <twoCellAnchor editAs="oneCell">
    <from>
      <col>1</col>
      <colOff>0</colOff>
      <row>11</row>
      <rowOff>0</rowOff>
    </from>
    <to>
      <col>5</col>
      <colOff>1002960</colOff>
      <row>24</row>
      <rowOff>94680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8</col>
      <colOff>0</colOff>
      <row>11</row>
      <rowOff>0</rowOff>
    </from>
    <to>
      <col>12</col>
      <colOff>193680</colOff>
      <row>24</row>
      <rowOff>94680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 editAs="oneCell">
    <from>
      <col>15</col>
      <colOff>0</colOff>
      <row>11</row>
      <rowOff>0</rowOff>
    </from>
    <to>
      <col>19</col>
      <colOff>543240</colOff>
      <row>24</row>
      <rowOff>94680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  <twoCellAnchor editAs="oneCell">
    <from>
      <col>1</col>
      <colOff>0</colOff>
      <row>25</row>
      <rowOff>0</rowOff>
    </from>
    <to>
      <col>5</col>
      <colOff>1002960</colOff>
      <row>37</row>
      <rowOff>160920</rowOff>
    </to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twoCellAnchor>
  <twoCellAnchor editAs="oneCell">
    <from>
      <col>8</col>
      <colOff>0</colOff>
      <row>25</row>
      <rowOff>0</rowOff>
    </from>
    <to>
      <col>12</col>
      <colOff>193680</colOff>
      <row>37</row>
      <rowOff>160920</rowOff>
    </to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twoCellAnchor>
  <twoCellAnchor editAs="oneCell">
    <from>
      <col>15</col>
      <colOff>0</colOff>
      <row>25</row>
      <rowOff>0</rowOff>
    </from>
    <to>
      <col>19</col>
      <colOff>543240</colOff>
      <row>37</row>
      <rowOff>160920</rowOff>
    </to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/>
  </twoCellAnchor>
  <twoCellAnchor editAs="oneCell">
    <from>
      <col>1</col>
      <colOff>0</colOff>
      <row>39</row>
      <rowOff>0</rowOff>
    </from>
    <to>
      <col>5</col>
      <colOff>1002960</colOff>
      <row>51</row>
      <rowOff>161280</rowOff>
    </to>
    <graphicFrame>
      <nvGraphicFramePr>
        <cNvPr id="7" name="Chart 7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graphicFrame>
    <clientData/>
  </twoCellAnchor>
  <twoCellAnchor editAs="oneCell">
    <from>
      <col>8</col>
      <colOff>0</colOff>
      <row>39</row>
      <rowOff>0</rowOff>
    </from>
    <to>
      <col>12</col>
      <colOff>193680</colOff>
      <row>51</row>
      <rowOff>161280</rowOff>
    </to>
    <graphicFrame>
      <nvGraphicFramePr>
        <cNvPr id="8" name="Chart 8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graphicFrame>
    <clientData/>
  </twoCellAnchor>
  <twoCellAnchor editAs="oneCell">
    <from>
      <col>15</col>
      <colOff>0</colOff>
      <row>39</row>
      <rowOff>0</rowOff>
    </from>
    <to>
      <col>19</col>
      <colOff>543240</colOff>
      <row>51</row>
      <rowOff>161280</rowOff>
    </to>
    <graphicFrame>
      <nvGraphicFramePr>
        <cNvPr id="9" name="Chart 9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graphicFrame>
    <clientData/>
  </twoCellAnchor>
</wsDr>
</file>

<file path=xl/drawings/drawing2.xml><?xml version="1.0" encoding="utf-8"?>
<wsDr xmlns="http://schemas.openxmlformats.org/drawingml/2006/spreadsheetDrawing">
  <twoCellAnchor editAs="oneCell">
    <from>
      <col>19</col>
      <colOff>0</colOff>
      <row>4</row>
      <rowOff>0</rowOff>
    </from>
    <to>
      <col>22</col>
      <colOff>591840</colOff>
      <row>13</row>
      <rowOff>180360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drawings/drawing3.xml><?xml version="1.0" encoding="utf-8"?>
<wsDr xmlns="http://schemas.openxmlformats.org/drawingml/2006/spreadsheetDrawing">
  <twoCellAnchor editAs="oneCell">
    <from>
      <col>9</col>
      <colOff>0</colOff>
      <row>4</row>
      <rowOff>0</rowOff>
    </from>
    <to>
      <col>11</col>
      <colOff>208080</colOff>
      <row>18</row>
      <rowOff>104040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18</col>
      <colOff>0</colOff>
      <row>4</row>
      <rowOff>0</rowOff>
    </from>
    <to>
      <col>24</col>
      <colOff>561240</colOff>
      <row>18</row>
      <rowOff>104040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</wsDr>
</file>

<file path=xl/drawings/drawing4.xml><?xml version="1.0" encoding="utf-8"?>
<wsDr xmlns="http://schemas.openxmlformats.org/drawingml/2006/spreadsheetDrawing">
  <twoCellAnchor editAs="oneCell">
    <from>
      <col>12</col>
      <colOff>0</colOff>
      <row>1</row>
      <rowOff>0</rowOff>
    </from>
    <to>
      <col>18</col>
      <colOff>382320</colOff>
      <row>13</row>
      <rowOff>104040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 editAs="oneCell">
    <from>
      <col>12</col>
      <colOff>0</colOff>
      <row>17</row>
      <rowOff>0</rowOff>
    </from>
    <to>
      <col>18</col>
      <colOff>382320</colOff>
      <row>31</row>
      <rowOff>46800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 editAs="oneCell">
    <from>
      <col>12</col>
      <colOff>0</colOff>
      <row>33</row>
      <rowOff>0</rowOff>
    </from>
    <to>
      <col>18</col>
      <colOff>382320</colOff>
      <row>47</row>
      <rowOff>180000</rowOff>
    </to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twoCellAnchor>
  <twoCellAnchor editAs="oneCell">
    <from>
      <col>12</col>
      <colOff>0</colOff>
      <row>50</row>
      <rowOff>0</rowOff>
    </from>
    <to>
      <col>18</col>
      <colOff>382320</colOff>
      <row>63</row>
      <rowOff>199440</rowOff>
    </to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twoCellAnchor>
</wsDr>
</file>

<file path=xl/drawings/drawing5.xml><?xml version="1.0" encoding="utf-8"?>
<wsDr xmlns="http://schemas.openxmlformats.org/drawingml/2006/spreadsheetDrawing">
  <twoCellAnchor editAs="oneCell">
    <from>
      <col>10</col>
      <colOff>0</colOff>
      <row>19</row>
      <rowOff>0</rowOff>
    </from>
    <to>
      <col>15</col>
      <colOff>424800</colOff>
      <row>32</row>
      <rowOff>18360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drawings/drawing6.xml><?xml version="1.0" encoding="utf-8"?>
<wsDr xmlns="http://schemas.openxmlformats.org/drawingml/2006/spreadsheetDrawing">
  <twoCellAnchor editAs="oneCell">
    <from>
      <col>1</col>
      <colOff>0</colOff>
      <row>25</row>
      <rowOff>0</rowOff>
    </from>
    <to>
      <col>3</col>
      <colOff>727200</colOff>
      <row>36</row>
      <rowOff>18360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drawings/drawing7.xml><?xml version="1.0" encoding="utf-8"?>
<wsDr xmlns="http://schemas.openxmlformats.org/drawingml/2006/spreadsheetDrawing">
  <twoCellAnchor editAs="oneCell">
    <from>
      <col>7</col>
      <colOff>0</colOff>
      <row>5</row>
      <rowOff>0</rowOff>
    </from>
    <to>
      <col>13</col>
      <colOff>381960</colOff>
      <row>20</row>
      <rowOff>28080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drawings/drawing8.xml><?xml version="1.0" encoding="utf-8"?>
<wsDr xmlns="http://schemas.openxmlformats.org/drawingml/2006/spreadsheetDrawing">
  <twoCellAnchor editAs="oneCell">
    <from>
      <col>7</col>
      <colOff>0</colOff>
      <row>26</row>
      <rowOff>0</rowOff>
    </from>
    <to>
      <col>9</col>
      <colOff>1123200</colOff>
      <row>39</row>
      <rowOff>9000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B1:AG20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3" customWidth="1" style="163" min="1" max="1"/>
    <col width="16" customWidth="1" style="163" min="2" max="8"/>
    <col width="30" customWidth="1" style="163" min="9" max="9"/>
    <col width="8" customWidth="1" style="163" min="10" max="14"/>
    <col width="8.710000000000001" customWidth="1" style="163" min="15" max="26"/>
  </cols>
  <sheetData>
    <row r="1" ht="19.5" customHeight="1" s="164">
      <c r="B1" s="165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7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  <c r="AD1" s="163" t="n"/>
      <c r="AE1" s="163" t="n"/>
      <c r="AF1" s="163" t="n"/>
      <c r="AG1" s="163" t="n"/>
    </row>
    <row r="2" ht="25.5" customHeight="1" s="164">
      <c r="B2" s="168" t="inlineStr">
        <is>
          <t>JOB APPLICATION TRACKER — TEMPLATE</t>
        </is>
      </c>
      <c r="Q2" s="169">
        <f t="array" ref="Q2:Q2">INDEX($E$58:$E$97,MATCH(MAX($F$58:$F$97),$F$58:$F$97,0))</f>
        <v/>
      </c>
      <c r="R2" s="170" t="n"/>
    </row>
    <row r="3" ht="25.5" customHeight="1" s="164">
      <c r="Q3" s="169">
        <f>MAX($F$58:$F$97)</f>
        <v/>
      </c>
    </row>
    <row r="4" ht="18" customHeight="1" s="164">
      <c r="B4" s="171">
        <f>"Tableau de bord — mis à jour automatiquement le "&amp;TEXT(TODAY(),"dd/mm/yyyy")</f>
        <v/>
      </c>
      <c r="Q4" s="169">
        <f t="array" ref="Q4:Q4">INDEX({"LinkedIn";"Career Site";"Email";"Facebook"},MATCH(MAX('Analyse Avancée'!C24:C27),'Analyse Avancée'!C24:C27,0))</f>
        <v/>
      </c>
    </row>
    <row r="5" ht="7.5" customHeight="1" s="164">
      <c r="Q5" s="169">
        <f>MAX('Analyse Avancée'!C24:C27)</f>
        <v/>
      </c>
    </row>
    <row r="6" ht="15.75" customHeight="1" s="164">
      <c r="B6" s="172" t="inlineStr">
        <is>
          <t>CANDIDATURES TOTALES</t>
        </is>
      </c>
      <c r="D6" s="173" t="inlineStr">
        <is>
          <t>ENVOYÉES</t>
        </is>
      </c>
      <c r="F6" s="174" t="inlineStr">
        <is>
          <t>REFUSÉES</t>
        </is>
      </c>
      <c r="H6" s="175" t="inlineStr">
        <is>
          <t>EN ATTENTE</t>
        </is>
      </c>
      <c r="J6" s="176" t="inlineStr">
        <is>
          <t>ENTRETIENS</t>
        </is>
      </c>
      <c r="L6" s="177" t="inlineStr">
        <is>
          <t>TAUX DE RÉPONSE</t>
        </is>
      </c>
    </row>
    <row r="7" ht="33.75" customHeight="1" s="164">
      <c r="B7" s="178">
        <f>COUNTA(Applications!C6:C200)</f>
        <v/>
      </c>
      <c r="D7" s="179">
        <f>COUNTIF(Applications!G6:G200,"Candidature envoyée")</f>
        <v/>
      </c>
      <c r="F7" s="180">
        <f>COUNTIF(Applications!G6:G200,"Refusé")</f>
        <v/>
      </c>
      <c r="H7" s="181">
        <f>COUNTIF(Applications!G6:G200,"En attente")</f>
        <v/>
      </c>
      <c r="J7" s="182">
        <f>COUNTIF(Applications!G6:G200,"Entretien")</f>
        <v/>
      </c>
      <c r="L7" s="183">
        <f>IFERROR((COUNTIF(Applications!G6:G200,"Refusé")+COUNTIF(Applications!G6:G200,"Entretien"))/COUNTA(Applications!C6:C200),0)</f>
        <v/>
      </c>
    </row>
    <row r="8" ht="33.75" customHeight="1" s="164">
      <c r="B8" s="184">
        <f>"Tendance hebdo : "&amp;IF(Q200&gt;=0,"▲ +","▼ ")&amp;Q200&amp;" vs sem. précédente"</f>
        <v/>
      </c>
      <c r="D8" s="185">
        <f>"Ancienneté moy. : "&amp;TEXT(IFERROR(AVERAGE(Applications!N6:N200),0),"0.0")&amp;" j"</f>
        <v/>
      </c>
      <c r="F8" s="186">
        <f>"Meilleure ville : "&amp;Q2&amp;" ("&amp;Q3&amp;")"</f>
        <v/>
      </c>
      <c r="H8" s="187">
        <f>"Canal principal : "&amp;Q4&amp;" ("&amp;Q5&amp;")"</f>
        <v/>
      </c>
      <c r="J8" s="188">
        <f>"Objectif hebdo : "&amp;IF(COUNTIFS(Applications!F6:F200,"&gt;="&amp;(TODAY()-WEEKDAY(TODAY(),3)))&gt;='Simulateur Objectifs'!$D$39,"Atteint ("&amp;COUNTIFS(Applications!F6:F200,"&gt;="&amp;(TODAY()-WEEKDAY(TODAY(),3)))&amp;"/"&amp;'Simulateur Objectifs'!$D$39&amp;")",TEXT(COUNTIFS(Applications!F6:F200,"&gt;="&amp;(TODAY()-WEEKDAY(TODAY(),3)))/'Simulateur Objectifs'!$D$39,"0%")&amp;" ("&amp;COUNTIFS(Applications!F6:F200,"&gt;="&amp;(TODAY()-WEEKDAY(TODAY(),3)))&amp;"/"&amp;'Simulateur Objectifs'!$D$39&amp;")")</f>
        <v/>
      </c>
      <c r="L8" s="189">
        <f t="array" ref="L8:L8">"Prochaine relance : "&amp;IFERROR(INDEX(Applications!C6:C200,MATCH(1,Applications!P6:P200,0)),"Aucune")</f>
        <v/>
      </c>
    </row>
    <row r="9" ht="9.75" customHeight="1" s="164"/>
    <row r="10" ht="15" customHeight="1" s="164"/>
    <row r="11" ht="15.75" customHeight="1" s="164">
      <c r="B11" s="190" t="inlineStr">
        <is>
          <t>ANALYSE VISUELLE</t>
        </is>
      </c>
      <c r="C11" s="191" t="n"/>
      <c r="D11" s="191" t="n"/>
      <c r="E11" s="191" t="n"/>
      <c r="F11" s="191" t="n"/>
      <c r="G11" s="191" t="n"/>
      <c r="H11" s="191" t="n"/>
      <c r="I11" s="191" t="n"/>
      <c r="J11" s="191" t="n"/>
      <c r="K11" s="191" t="n"/>
      <c r="L11" s="191" t="n"/>
      <c r="M11" s="191" t="n"/>
      <c r="N11" s="191" t="n"/>
      <c r="O11" s="169" t="inlineStr">
        <is>
          <t>GAUGE</t>
        </is>
      </c>
    </row>
    <row r="12" ht="15" customHeight="1" s="164"/>
    <row r="13" ht="15.75" customHeight="1" s="164">
      <c r="B13" s="192" t="n"/>
    </row>
    <row r="14" ht="3" customHeight="1" s="164"/>
    <row r="15" ht="15" customHeight="1" s="164"/>
    <row r="16" ht="15" customHeight="1" s="164"/>
    <row r="17" ht="15" customHeight="1" s="164"/>
    <row r="18" ht="15" customHeight="1" s="164"/>
    <row r="19" ht="15" customHeight="1" s="164"/>
    <row r="20" ht="15" customHeight="1" s="164"/>
    <row r="21" ht="15.75" customHeight="1" s="164"/>
    <row r="22" ht="15.75" customHeight="1" s="164"/>
    <row r="23" ht="15.75" customHeight="1" s="164"/>
    <row r="24" ht="15.75" customHeight="1" s="164"/>
    <row r="25" ht="15.75" customHeight="1" s="164"/>
    <row r="26" ht="15.75" customHeight="1" s="164"/>
    <row r="27" ht="15.75" customHeight="1" s="164"/>
    <row r="28" ht="15.75" customHeight="1" s="164"/>
    <row r="29" ht="15.75" customHeight="1" s="164"/>
    <row r="30" ht="15.75" customHeight="1" s="164"/>
    <row r="31" ht="15.75" customHeight="1" s="164"/>
    <row r="32" ht="15.75" customHeight="1" s="164"/>
    <row r="33" ht="15.75" customHeight="1" s="164"/>
    <row r="34" ht="15.75" customHeight="1" s="164">
      <c r="B34" s="193" t="n"/>
      <c r="C34" s="193" t="n"/>
      <c r="E34" s="193" t="n"/>
      <c r="F34" s="193" t="n"/>
      <c r="H34" s="194" t="n"/>
      <c r="I34" s="194" t="n"/>
      <c r="J34" s="194" t="n"/>
    </row>
    <row r="35" ht="15.75" customHeight="1" s="164">
      <c r="B35" s="193" t="n"/>
      <c r="C35" s="193" t="n"/>
      <c r="E35" s="193" t="n"/>
      <c r="F35" s="193" t="n"/>
      <c r="G35" s="169" t="n"/>
      <c r="H35" s="195" t="n"/>
      <c r="I35" s="196" t="n"/>
      <c r="J35" s="197" t="n"/>
    </row>
    <row r="36" ht="15.75" customHeight="1" s="164">
      <c r="B36" s="193" t="n"/>
      <c r="C36" s="193" t="n"/>
      <c r="E36" s="193" t="n"/>
      <c r="F36" s="193" t="n"/>
      <c r="G36" s="169" t="n"/>
      <c r="H36" s="195" t="n"/>
      <c r="I36" s="196" t="n"/>
      <c r="J36" s="197" t="n"/>
    </row>
    <row r="37" ht="15.75" customHeight="1" s="164">
      <c r="B37" s="193" t="n"/>
      <c r="C37" s="193" t="n"/>
      <c r="E37" s="193" t="n"/>
      <c r="F37" s="193" t="n"/>
      <c r="G37" s="169" t="n"/>
      <c r="H37" s="195" t="n"/>
      <c r="I37" s="196" t="n"/>
      <c r="J37" s="197" t="n"/>
    </row>
    <row r="38" ht="15.75" customHeight="1" s="164">
      <c r="B38" s="193" t="n"/>
      <c r="C38" s="193" t="n"/>
      <c r="E38" s="193" t="n"/>
      <c r="F38" s="193" t="n"/>
      <c r="G38" s="169" t="n"/>
      <c r="H38" s="195" t="n"/>
      <c r="I38" s="196" t="n"/>
      <c r="J38" s="197" t="n"/>
    </row>
    <row r="39" ht="15.75" customHeight="1" s="164">
      <c r="B39" s="193" t="n"/>
      <c r="C39" s="193" t="n"/>
      <c r="E39" s="193" t="n"/>
      <c r="F39" s="193" t="n"/>
      <c r="G39" s="169" t="n"/>
      <c r="H39" s="195" t="n"/>
      <c r="I39" s="196" t="n"/>
      <c r="J39" s="197" t="n"/>
    </row>
    <row r="40" ht="15.75" customHeight="1" s="164">
      <c r="B40" s="193" t="n"/>
      <c r="C40" s="193" t="n"/>
      <c r="E40" s="193" t="n"/>
      <c r="F40" s="193" t="n"/>
      <c r="G40" s="169" t="n"/>
      <c r="H40" s="195" t="n"/>
      <c r="I40" s="196" t="n"/>
      <c r="J40" s="197" t="n"/>
    </row>
    <row r="41" ht="15.75" customHeight="1" s="164">
      <c r="B41" s="193" t="n"/>
      <c r="C41" s="193" t="n"/>
      <c r="E41" s="193" t="n"/>
      <c r="F41" s="193" t="n"/>
      <c r="G41" s="169" t="n"/>
      <c r="H41" s="195" t="n"/>
      <c r="I41" s="196" t="n"/>
      <c r="J41" s="197" t="n"/>
    </row>
    <row r="42" ht="15.75" customHeight="1" s="164">
      <c r="B42" s="193" t="n"/>
      <c r="C42" s="193" t="n"/>
      <c r="E42" s="193" t="n"/>
      <c r="F42" s="193" t="n"/>
      <c r="G42" s="169" t="n"/>
      <c r="H42" s="195" t="n"/>
      <c r="I42" s="196" t="n"/>
      <c r="J42" s="197" t="n"/>
    </row>
    <row r="43" ht="15.75" customHeight="1" s="164">
      <c r="B43" s="193" t="n"/>
      <c r="C43" s="193" t="n"/>
      <c r="E43" s="193" t="n"/>
      <c r="F43" s="193" t="n"/>
      <c r="G43" s="169" t="n"/>
    </row>
    <row r="44" ht="15.75" customHeight="1" s="164">
      <c r="B44" s="193" t="n"/>
      <c r="C44" s="193" t="n"/>
      <c r="E44" s="193" t="n"/>
      <c r="F44" s="193" t="n"/>
      <c r="G44" s="169" t="n"/>
    </row>
    <row r="45" ht="15.75" customHeight="1" s="164">
      <c r="B45" s="193" t="n"/>
      <c r="C45" s="193" t="n"/>
      <c r="E45" s="193" t="n"/>
      <c r="F45" s="193" t="n"/>
      <c r="G45" s="169" t="n"/>
      <c r="H45" s="198" t="n"/>
    </row>
    <row r="46" ht="15.75" customHeight="1" s="164">
      <c r="B46" s="193" t="n"/>
      <c r="C46" s="193" t="n"/>
      <c r="E46" s="193" t="n"/>
      <c r="F46" s="193" t="n"/>
      <c r="G46" s="169" t="n"/>
      <c r="H46" s="199" t="n"/>
      <c r="I46" s="200" t="n"/>
    </row>
    <row r="47" ht="15.75" customHeight="1" s="164">
      <c r="B47" s="193" t="n"/>
      <c r="C47" s="193" t="n"/>
      <c r="E47" s="193" t="n"/>
      <c r="F47" s="193" t="n"/>
      <c r="G47" s="169" t="n"/>
      <c r="H47" s="201" t="n"/>
      <c r="I47" s="202" t="n"/>
    </row>
    <row r="48" ht="15.75" customHeight="1" s="164">
      <c r="B48" s="193" t="n"/>
      <c r="C48" s="193" t="n"/>
      <c r="E48" s="193" t="n"/>
      <c r="F48" s="193" t="n"/>
      <c r="G48" s="169" t="n"/>
      <c r="H48" s="201" t="n"/>
      <c r="I48" s="203" t="n"/>
    </row>
    <row r="49" ht="15.75" customHeight="1" s="164">
      <c r="B49" s="193" t="n"/>
      <c r="C49" s="193" t="n"/>
      <c r="E49" s="193" t="n"/>
      <c r="F49" s="193" t="n"/>
      <c r="G49" s="169" t="n"/>
    </row>
    <row r="50" ht="15.75" customHeight="1" s="164"/>
    <row r="51" ht="15.75" customHeight="1" s="164">
      <c r="H51" s="198" t="n"/>
    </row>
    <row r="52" ht="15.75" customHeight="1" s="164">
      <c r="H52" s="194" t="n"/>
      <c r="I52" s="194" t="n"/>
      <c r="J52" s="194" t="n"/>
    </row>
    <row r="53" ht="15.75" customHeight="1" s="164">
      <c r="H53" s="195" t="n"/>
      <c r="I53" s="195" t="n"/>
      <c r="J53" s="196" t="n"/>
    </row>
    <row r="54" ht="15.75" customHeight="1" s="164">
      <c r="J54" s="196" t="n"/>
    </row>
    <row r="55" ht="15.75" customHeight="1" s="164">
      <c r="H55" s="195" t="n"/>
      <c r="I55" s="195" t="n"/>
      <c r="J55" s="196" t="n"/>
    </row>
    <row r="56" ht="15.75" customHeight="1" s="164">
      <c r="H56" s="198" t="inlineStr">
        <is>
          <t>TOP VILLES (TRIÉ)</t>
        </is>
      </c>
      <c r="J56" s="196" t="n"/>
    </row>
    <row r="57" ht="15.75" customHeight="1" s="164">
      <c r="B57" s="193" t="inlineStr">
        <is>
          <t>Statut</t>
        </is>
      </c>
      <c r="C57" s="193" t="inlineStr">
        <is>
          <t>Nombre</t>
        </is>
      </c>
      <c r="E57" s="193" t="inlineStr">
        <is>
          <t>Ville</t>
        </is>
      </c>
      <c r="F57" s="193" t="inlineStr">
        <is>
          <t>Nombre</t>
        </is>
      </c>
      <c r="H57" s="204" t="inlineStr">
        <is>
          <t>Ville</t>
        </is>
      </c>
      <c r="I57" s="204" t="inlineStr">
        <is>
          <t>Candidatures</t>
        </is>
      </c>
      <c r="J57" s="204" t="inlineStr">
        <is>
          <t>Taux réponse</t>
        </is>
      </c>
    </row>
    <row r="58" ht="15.75" customHeight="1" s="164">
      <c r="B58" s="193" t="inlineStr">
        <is>
          <t>Candidature envoyée</t>
        </is>
      </c>
      <c r="C58" s="193">
        <f>COUNTIF(Applications!G6:G200,"Candidature envoyée")</f>
        <v/>
      </c>
      <c r="E58" s="193">
        <f t="array" ref="E58:E58">IFERROR(INDEX(Applications!$E$6:$E$200,MATCH(ROW()-57,Applications!$W$6:$W$200,0)),"")</f>
        <v/>
      </c>
      <c r="F58" s="193">
        <f>IF($E58="","",COUNTIF(Applications!$E$6:$E$200,$E58))</f>
        <v/>
      </c>
      <c r="G58" s="169">
        <f>IF($E58="","",F58+ROW()/100000)</f>
        <v/>
      </c>
      <c r="H58" s="195">
        <f t="array" ref="H58:H58">IFERROR(INDEX($E$58:$E$97,MATCH(LARGE($G$58:$G$97,1),$G$58:$G$97,0)),"")</f>
        <v/>
      </c>
      <c r="I58" s="196">
        <f>IFERROR(LARGE($F$58:$F$97,1),"")</f>
        <v/>
      </c>
      <c r="J58" s="197">
        <f>IFERROR((COUNTIFS(Applications!$E$6:$E$200,$H58,Applications!$G$6:$G$200,"Refusé")+COUNTIFS(Applications!$E$6:$E$200,$H58,Applications!$G$6:$G$200,"Entretien")+COUNTIFS(Applications!$E$6:$E$200,$H58,Applications!$G$6:$G$200,"Offre"))/COUNTIF(Applications!$E$6:$E$200,$H58),0)</f>
        <v/>
      </c>
    </row>
    <row r="59" ht="15.75" customHeight="1" s="164">
      <c r="B59" s="193" t="inlineStr">
        <is>
          <t>Refusé</t>
        </is>
      </c>
      <c r="C59" s="193">
        <f>COUNTIF(Applications!G6:G200,"Refusé")</f>
        <v/>
      </c>
      <c r="E59" s="193">
        <f t="array" ref="E59:E59">IFERROR(INDEX(Applications!$E$6:$E$200,MATCH(ROW()-57,Applications!$W$6:$W$200,0)),"")</f>
        <v/>
      </c>
      <c r="F59" s="193">
        <f>IF($E59="","",COUNTIF(Applications!$E$6:$E$200,$E59))</f>
        <v/>
      </c>
      <c r="G59" s="169">
        <f>IF($E59="","",F59+ROW()/100000)</f>
        <v/>
      </c>
      <c r="H59" s="195">
        <f t="array" ref="H59:H59">IFERROR(INDEX($E$58:$E$97,MATCH(LARGE($G$58:$G$97,2),$G$58:$G$97,0)),"")</f>
        <v/>
      </c>
      <c r="I59" s="196">
        <f>IFERROR(LARGE($F$58:$F$97,2),"")</f>
        <v/>
      </c>
      <c r="J59" s="197">
        <f>IFERROR((COUNTIFS(Applications!$E$6:$E$200,$H59,Applications!$G$6:$G$200,"Refusé")+COUNTIFS(Applications!$E$6:$E$200,$H59,Applications!$G$6:$G$200,"Entretien")+COUNTIFS(Applications!$E$6:$E$200,$H59,Applications!$G$6:$G$200,"Offre"))/COUNTIF(Applications!$E$6:$E$200,$H59),0)</f>
        <v/>
      </c>
    </row>
    <row r="60" ht="15.75" customHeight="1" s="164">
      <c r="B60" s="193" t="inlineStr">
        <is>
          <t>Entretien</t>
        </is>
      </c>
      <c r="C60" s="193">
        <f>COUNTIF(Applications!G6:G200,"Entretien")</f>
        <v/>
      </c>
      <c r="E60" s="193">
        <f t="array" ref="E60:E60">IFERROR(INDEX(Applications!$E$6:$E$200,MATCH(ROW()-57,Applications!$W$6:$W$200,0)),"")</f>
        <v/>
      </c>
      <c r="F60" s="193">
        <f>IF($E60="","",COUNTIF(Applications!$E$6:$E$200,$E60))</f>
        <v/>
      </c>
      <c r="G60" s="169">
        <f>IF($E60="","",F60+ROW()/100000)</f>
        <v/>
      </c>
      <c r="H60" s="195">
        <f t="array" ref="H60:H60">IFERROR(INDEX($E$58:$E$97,MATCH(LARGE($G$58:$G$97,3),$G$58:$G$97,0)),"")</f>
        <v/>
      </c>
      <c r="I60" s="196">
        <f>IFERROR(LARGE($F$58:$F$97,3),"")</f>
        <v/>
      </c>
      <c r="J60" s="197">
        <f>IFERROR((COUNTIFS(Applications!$E$6:$E$200,$H60,Applications!$G$6:$G$200,"Refusé")+COUNTIFS(Applications!$E$6:$E$200,$H60,Applications!$G$6:$G$200,"Entretien")+COUNTIFS(Applications!$E$6:$E$200,$H60,Applications!$G$6:$G$200,"Offre"))/COUNTIF(Applications!$E$6:$E$200,$H60),0)</f>
        <v/>
      </c>
    </row>
    <row r="61" ht="15.75" customHeight="1" s="164">
      <c r="B61" s="193" t="inlineStr">
        <is>
          <t>Offre</t>
        </is>
      </c>
      <c r="C61" s="193">
        <f>COUNTIF(Applications!G6:G200,"Offre")</f>
        <v/>
      </c>
      <c r="E61" s="193">
        <f t="array" ref="E61:E61">IFERROR(INDEX(Applications!$E$6:$E$200,MATCH(ROW()-57,Applications!$W$6:$W$200,0)),"")</f>
        <v/>
      </c>
      <c r="F61" s="193">
        <f>IF($E61="","",COUNTIF(Applications!$E$6:$E$200,$E61))</f>
        <v/>
      </c>
      <c r="G61" s="169">
        <f>IF($E61="","",F61+ROW()/100000)</f>
        <v/>
      </c>
      <c r="H61" s="195">
        <f t="array" ref="H61:H61">IFERROR(INDEX($E$58:$E$97,MATCH(LARGE($G$58:$G$97,4),$G$58:$G$97,0)),"")</f>
        <v/>
      </c>
      <c r="I61" s="196">
        <f>IFERROR(LARGE($F$58:$F$97,4),"")</f>
        <v/>
      </c>
      <c r="J61" s="197">
        <f>IFERROR((COUNTIFS(Applications!$E$6:$E$200,$H61,Applications!$G$6:$G$200,"Refusé")+COUNTIFS(Applications!$E$6:$E$200,$H61,Applications!$G$6:$G$200,"Entretien")+COUNTIFS(Applications!$E$6:$E$200,$H61,Applications!$G$6:$G$200,"Offre"))/COUNTIF(Applications!$E$6:$E$200,$H61),0)</f>
        <v/>
      </c>
    </row>
    <row r="62" ht="15.75" customHeight="1" s="164">
      <c r="B62" s="193" t="inlineStr">
        <is>
          <t>En attente</t>
        </is>
      </c>
      <c r="C62" s="193">
        <f>COUNTIF(Applications!G6:G200,"En attente")</f>
        <v/>
      </c>
      <c r="E62" s="193">
        <f t="array" ref="E62:E62">IFERROR(INDEX(Applications!$E$6:$E$200,MATCH(ROW()-57,Applications!$W$6:$W$200,0)),"")</f>
        <v/>
      </c>
      <c r="F62" s="193">
        <f>IF($E62="","",COUNTIF(Applications!$E$6:$E$200,$E62))</f>
        <v/>
      </c>
      <c r="G62" s="169">
        <f>IF($E62="","",F62+ROW()/100000)</f>
        <v/>
      </c>
      <c r="H62" s="195">
        <f t="array" ref="H62:H62">IFERROR(INDEX($E$58:$E$97,MATCH(LARGE($G$58:$G$97,5),$G$58:$G$97,0)),"")</f>
        <v/>
      </c>
      <c r="I62" s="196">
        <f>IFERROR(LARGE($F$58:$F$97,5),"")</f>
        <v/>
      </c>
      <c r="J62" s="197">
        <f>IFERROR((COUNTIFS(Applications!$E$6:$E$200,$H62,Applications!$G$6:$G$200,"Refusé")+COUNTIFS(Applications!$E$6:$E$200,$H62,Applications!$G$6:$G$200,"Entretien")+COUNTIFS(Applications!$E$6:$E$200,$H62,Applications!$G$6:$G$200,"Offre"))/COUNTIF(Applications!$E$6:$E$200,$H62),0)</f>
        <v/>
      </c>
    </row>
    <row r="63" ht="15.75" customHeight="1" s="164">
      <c r="B63" s="193" t="n"/>
      <c r="C63" s="193" t="n"/>
      <c r="E63" s="193">
        <f t="array" ref="E63:E63">IFERROR(INDEX(Applications!$E$6:$E$200,MATCH(ROW()-57,Applications!$W$6:$W$200,0)),"")</f>
        <v/>
      </c>
      <c r="F63" s="193">
        <f>IF($E63="","",COUNTIF(Applications!$E$6:$E$200,$E63))</f>
        <v/>
      </c>
      <c r="G63" s="169">
        <f>IF($E63="","",F63+ROW()/100000)</f>
        <v/>
      </c>
      <c r="H63" s="195">
        <f t="array" ref="H63:H63">IFERROR(INDEX($E$58:$E$97,MATCH(LARGE($G$58:$G$97,6),$G$58:$G$97,0)),"")</f>
        <v/>
      </c>
      <c r="I63" s="196">
        <f>IFERROR(LARGE($F$58:$F$97,6),"")</f>
        <v/>
      </c>
      <c r="J63" s="197">
        <f>IFERROR((COUNTIFS(Applications!$E$6:$E$200,$H63,Applications!$G$6:$G$200,"Refusé")+COUNTIFS(Applications!$E$6:$E$200,$H63,Applications!$G$6:$G$200,"Entretien")+COUNTIFS(Applications!$E$6:$E$200,$H63,Applications!$G$6:$G$200,"Offre"))/COUNTIF(Applications!$E$6:$E$200,$H63),0)</f>
        <v/>
      </c>
    </row>
    <row r="64" ht="15.75" customHeight="1" s="164">
      <c r="B64" s="193" t="n"/>
      <c r="C64" s="193" t="n"/>
      <c r="E64" s="193">
        <f t="array" ref="E64:E64">IFERROR(INDEX(Applications!$E$6:$E$200,MATCH(ROW()-57,Applications!$W$6:$W$200,0)),"")</f>
        <v/>
      </c>
      <c r="F64" s="193">
        <f>IF($E64="","",COUNTIF(Applications!$E$6:$E$200,$E64))</f>
        <v/>
      </c>
      <c r="G64" s="169">
        <f>IF($E64="","",F64+ROW()/100000)</f>
        <v/>
      </c>
      <c r="H64" s="195">
        <f t="array" ref="H64:H64">IFERROR(INDEX($E$58:$E$97,MATCH(LARGE($G$58:$G$97,7),$G$58:$G$97,0)),"")</f>
        <v/>
      </c>
      <c r="I64" s="196">
        <f>IFERROR(LARGE($F$58:$F$97,7),"")</f>
        <v/>
      </c>
      <c r="J64" s="197">
        <f>IFERROR((COUNTIFS(Applications!$E$6:$E$200,$H64,Applications!$G$6:$G$200,"Refusé")+COUNTIFS(Applications!$E$6:$E$200,$H64,Applications!$G$6:$G$200,"Entretien")+COUNTIFS(Applications!$E$6:$E$200,$H64,Applications!$G$6:$G$200,"Offre"))/COUNTIF(Applications!$E$6:$E$200,$H64),0)</f>
        <v/>
      </c>
    </row>
    <row r="65" ht="15.75" customHeight="1" s="164">
      <c r="B65" s="193" t="n"/>
      <c r="C65" s="193" t="n"/>
      <c r="E65" s="193">
        <f t="array" ref="E65:E65">IFERROR(INDEX(Applications!$E$6:$E$200,MATCH(ROW()-57,Applications!$W$6:$W$200,0)),"")</f>
        <v/>
      </c>
      <c r="F65" s="193">
        <f>IF($E65="","",COUNTIF(Applications!$E$6:$E$200,$E65))</f>
        <v/>
      </c>
      <c r="G65" s="169">
        <f>IF($E65="","",F65+ROW()/100000)</f>
        <v/>
      </c>
      <c r="H65" s="195">
        <f t="array" ref="H65:H65">IFERROR(INDEX($E$58:$E$97,MATCH(LARGE($G$58:$G$97,8),$G$58:$G$97,0)),"")</f>
        <v/>
      </c>
      <c r="I65" s="196">
        <f>IFERROR(LARGE($F$58:$F$97,8),"")</f>
        <v/>
      </c>
      <c r="J65" s="197">
        <f>IFERROR((COUNTIFS(Applications!$E$6:$E$200,$H65,Applications!$G$6:$G$200,"Refusé")+COUNTIFS(Applications!$E$6:$E$200,$H65,Applications!$G$6:$G$200,"Entretien")+COUNTIFS(Applications!$E$6:$E$200,$H65,Applications!$G$6:$G$200,"Offre"))/COUNTIF(Applications!$E$6:$E$200,$H65),0)</f>
        <v/>
      </c>
    </row>
    <row r="66" ht="15.75" customHeight="1" s="164">
      <c r="B66" s="193" t="n"/>
      <c r="C66" s="193" t="n"/>
      <c r="E66" s="193">
        <f t="array" ref="E66:E66">IFERROR(INDEX(Applications!$E$6:$E$200,MATCH(ROW()-57,Applications!$W$6:$W$200,0)),"")</f>
        <v/>
      </c>
      <c r="F66" s="193">
        <f>IF($E66="","",COUNTIF(Applications!$E$6:$E$200,$E66))</f>
        <v/>
      </c>
      <c r="G66" s="169">
        <f>IF($E66="","",F66+ROW()/100000)</f>
        <v/>
      </c>
    </row>
    <row r="67" ht="15.75" customHeight="1" s="164">
      <c r="B67" s="193" t="n"/>
      <c r="C67" s="193" t="n"/>
      <c r="E67" s="193">
        <f t="array" ref="E67:E67">IFERROR(INDEX(Applications!$E$6:$E$200,MATCH(ROW()-57,Applications!$W$6:$W$200,0)),"")</f>
        <v/>
      </c>
      <c r="F67" s="193">
        <f>IF($E67="","",COUNTIF(Applications!$E$6:$E$200,$E67))</f>
        <v/>
      </c>
      <c r="G67" s="169">
        <f>IF($E67="","",F67+ROW()/100000)</f>
        <v/>
      </c>
    </row>
    <row r="68" ht="15.75" customHeight="1" s="164">
      <c r="B68" s="193" t="n"/>
      <c r="C68" s="193" t="n"/>
      <c r="E68" s="193">
        <f t="array" ref="E68:E68">IFERROR(INDEX(Applications!$E$6:$E$200,MATCH(ROW()-57,Applications!$W$6:$W$200,0)),"")</f>
        <v/>
      </c>
      <c r="F68" s="193">
        <f>IF($E68="","",COUNTIF(Applications!$E$6:$E$200,$E68))</f>
        <v/>
      </c>
      <c r="G68" s="169">
        <f>IF($E68="","",F68+ROW()/100000)</f>
        <v/>
      </c>
      <c r="H68" s="198" t="inlineStr">
        <is>
          <t>PILOTAGE INTERACTIF</t>
        </is>
      </c>
    </row>
    <row r="69" ht="15.75" customHeight="1" s="164">
      <c r="B69" s="193" t="n"/>
      <c r="C69" s="193" t="n"/>
      <c r="E69" s="193">
        <f t="array" ref="E69:E69">IFERROR(INDEX(Applications!$E$6:$E$200,MATCH(ROW()-57,Applications!$W$6:$W$200,0)),"")</f>
        <v/>
      </c>
      <c r="F69" s="193">
        <f>IF($E69="","",COUNTIF(Applications!$E$6:$E$200,$E69))</f>
        <v/>
      </c>
      <c r="G69" s="169">
        <f>IF($E69="","",F69+ROW()/100000)</f>
        <v/>
      </c>
      <c r="H69" s="199" t="inlineStr">
        <is>
          <t>Filtrer par ville :</t>
        </is>
      </c>
      <c r="I69" s="205" t="inlineStr">
        <is>
          <t>Meadowbrook</t>
        </is>
      </c>
    </row>
    <row r="70" ht="15.75" customHeight="1" s="164">
      <c r="B70" s="193" t="n"/>
      <c r="C70" s="193" t="n"/>
      <c r="E70" s="193">
        <f t="array" ref="E70:E70">IFERROR(INDEX(Applications!$E$6:$E$200,MATCH(ROW()-57,Applications!$W$6:$W$200,0)),"")</f>
        <v/>
      </c>
      <c r="F70" s="193">
        <f>IF($E70="","",COUNTIF(Applications!$E$6:$E$200,$E70))</f>
        <v/>
      </c>
      <c r="G70" s="169">
        <f>IF($E70="","",F70+ROW()/100000)</f>
        <v/>
      </c>
      <c r="H70" s="201" t="inlineStr">
        <is>
          <t>Candidatures dans cette ville :</t>
        </is>
      </c>
      <c r="I70" s="202">
        <f>COUNTIF(Applications!$E$6:$E$200,$I$69)</f>
        <v/>
      </c>
    </row>
    <row r="71" ht="15.75" customHeight="1" s="164">
      <c r="B71" s="193" t="n"/>
      <c r="C71" s="193" t="n"/>
      <c r="E71" s="193">
        <f t="array" ref="E71:E71">IFERROR(INDEX(Applications!$E$6:$E$200,MATCH(ROW()-57,Applications!$W$6:$W$200,0)),"")</f>
        <v/>
      </c>
      <c r="F71" s="193">
        <f>IF($E71="","",COUNTIF(Applications!$E$6:$E$200,$E71))</f>
        <v/>
      </c>
      <c r="G71" s="169">
        <f>IF($E71="","",F71+ROW()/100000)</f>
        <v/>
      </c>
      <c r="H71" s="201" t="inlineStr">
        <is>
          <t>Taux de réponse pour cette ville :</t>
        </is>
      </c>
      <c r="I71" s="203">
        <f>IFERROR((COUNTIFS(Applications!$E$6:$E$200,$I$69,Applications!$G$6:$G$200,"Refusé")+COUNTIFS(Applications!$E$6:$E$200,$I$69,Applications!$G$6:$G$200,"Entretien"))/COUNTIF(Applications!$E$6:$E$200,$I$69),0)</f>
        <v/>
      </c>
    </row>
    <row r="72" ht="15.75" customHeight="1" s="164">
      <c r="B72" s="193" t="n"/>
      <c r="C72" s="193" t="n"/>
      <c r="E72" s="193">
        <f t="array" ref="E72:E72">IFERROR(INDEX(Applications!$E$6:$E$200,MATCH(ROW()-57,Applications!$W$6:$W$200,0)),"")</f>
        <v/>
      </c>
      <c r="F72" s="193">
        <f>IF($E72="","",COUNTIF(Applications!$E$6:$E$200,$E72))</f>
        <v/>
      </c>
      <c r="G72" s="169">
        <f>IF($E72="","",F72+ROW()/100000)</f>
        <v/>
      </c>
    </row>
    <row r="73" ht="15.75" customHeight="1" s="164">
      <c r="E73" s="193">
        <f t="array" ref="E73:E73">IFERROR(INDEX(Applications!$E$6:$E$200,MATCH(ROW()-57,Applications!$W$6:$W$200,0)),"")</f>
        <v/>
      </c>
      <c r="F73" s="193">
        <f>IF($E73="","",COUNTIF(Applications!$E$6:$E$200,$E73))</f>
        <v/>
      </c>
      <c r="G73" s="169">
        <f>IF($E73="","",F73+ROW()/100000)</f>
        <v/>
      </c>
    </row>
    <row r="74" ht="15.75" customHeight="1" s="164">
      <c r="E74" s="193">
        <f t="array" ref="E74:E74">IFERROR(INDEX(Applications!$E$6:$E$200,MATCH(ROW()-57,Applications!$W$6:$W$200,0)),"")</f>
        <v/>
      </c>
      <c r="F74" s="193">
        <f>IF($E74="","",COUNTIF(Applications!$E$6:$E$200,$E74))</f>
        <v/>
      </c>
      <c r="G74" s="169">
        <f>IF($E74="","",F74+ROW()/100000)</f>
        <v/>
      </c>
      <c r="H74" s="198" t="inlineStr">
        <is>
          <t>ACTIONS PRIORITAIRES — À RELANCER</t>
        </is>
      </c>
    </row>
    <row r="75" ht="15.75" customHeight="1" s="164">
      <c r="E75" s="193">
        <f t="array" ref="E75:E75">IFERROR(INDEX(Applications!$E$6:$E$200,MATCH(ROW()-57,Applications!$W$6:$W$200,0)),"")</f>
        <v/>
      </c>
      <c r="F75" s="193">
        <f>IF($E75="","",COUNTIF(Applications!$E$6:$E$200,$E75))</f>
        <v/>
      </c>
      <c r="G75" s="169">
        <f>IF($E75="","",F75+ROW()/100000)</f>
        <v/>
      </c>
      <c r="H75" s="204" t="inlineStr">
        <is>
          <t>Entreprise</t>
        </is>
      </c>
      <c r="I75" s="204" t="inlineStr">
        <is>
          <t>Poste</t>
        </is>
      </c>
      <c r="J75" s="204" t="inlineStr">
        <is>
          <t>Jours</t>
        </is>
      </c>
    </row>
    <row r="76" ht="15.75" customHeight="1" s="164">
      <c r="E76" s="193">
        <f t="array" ref="E76:E76">IFERROR(INDEX(Applications!$E$6:$E$200,MATCH(ROW()-57,Applications!$W$6:$W$200,0)),"")</f>
        <v/>
      </c>
      <c r="F76" s="193">
        <f>IF($E76="","",COUNTIF(Applications!$E$6:$E$200,$E76))</f>
        <v/>
      </c>
      <c r="G76" s="169">
        <f>IF($E76="","",F76+ROW()/100000)</f>
        <v/>
      </c>
      <c r="H76" s="195">
        <f t="array" ref="H76:H76">IFERROR(INDEX(Applications!$C$6:$C$200,MATCH(1,Applications!$P$6:$P$200,0)),"")</f>
        <v/>
      </c>
      <c r="I76" s="195">
        <f t="array" ref="I76:I76">IFERROR(INDEX(Applications!$D$6:$D$200,MATCH(1,Applications!$P$6:$P$200,0)),"")</f>
        <v/>
      </c>
      <c r="J76" s="196">
        <f t="array" ref="J76:J76">IFERROR(INDEX(Applications!$N$6:$N$200,MATCH(1,Applications!$P$6:$P$200,0)),"")</f>
        <v/>
      </c>
    </row>
    <row r="77" ht="15.75" customHeight="1" s="164">
      <c r="E77" s="193">
        <f t="array" ref="E77:E77">IFERROR(INDEX(Applications!$E$6:$E$200,MATCH(ROW()-57,Applications!$W$6:$W$200,0)),"")</f>
        <v/>
      </c>
      <c r="F77" s="193">
        <f>IF($E77="","",COUNTIF(Applications!$E$6:$E$200,$E77))</f>
        <v/>
      </c>
      <c r="G77" s="169">
        <f>IF($E77="","",F77+ROW()/100000)</f>
        <v/>
      </c>
      <c r="H77" s="195">
        <f t="array" ref="H77:H77">IFERROR(INDEX(Applications!$C$6:$C$200,MATCH(2,Applications!$P$6:$P$200,0)),"")</f>
        <v/>
      </c>
      <c r="I77" s="195">
        <f t="array" ref="I77:I77">IFERROR(INDEX(Applications!$D$6:$D$200,MATCH(2,Applications!$P$6:$P$200,0)),"")</f>
        <v/>
      </c>
      <c r="J77" s="196">
        <f t="array" ref="J77:J77">IFERROR(INDEX(Applications!$N$6:$N$200,MATCH(2,Applications!$P$6:$P$200,0)),"")</f>
        <v/>
      </c>
    </row>
    <row r="78" ht="15.75" customHeight="1" s="164">
      <c r="E78" s="193">
        <f t="array" ref="E78:E78">IFERROR(INDEX(Applications!$E$6:$E$200,MATCH(ROW()-57,Applications!$W$6:$W$200,0)),"")</f>
        <v/>
      </c>
      <c r="F78" s="193">
        <f>IF($E78="","",COUNTIF(Applications!$E$6:$E$200,$E78))</f>
        <v/>
      </c>
      <c r="G78" s="169">
        <f>IF($E78="","",F78+ROW()/100000)</f>
        <v/>
      </c>
      <c r="H78" s="195">
        <f t="array" ref="H78:H78">IFERROR(INDEX(Applications!$C$6:$C$200,MATCH(3,Applications!$P$6:$P$200,0)),"")</f>
        <v/>
      </c>
      <c r="I78" s="195">
        <f t="array" ref="I78:I78">IFERROR(INDEX(Applications!$D$6:$D$200,MATCH(3,Applications!$P$6:$P$200,0)),"")</f>
        <v/>
      </c>
      <c r="J78" s="196">
        <f t="array" ref="J78:J78">IFERROR(INDEX(Applications!$N$6:$N$200,MATCH(3,Applications!$P$6:$P$200,0)),"")</f>
        <v/>
      </c>
    </row>
    <row r="79" ht="15.75" customHeight="1" s="164">
      <c r="E79" s="193">
        <f t="array" ref="E79:E79">IFERROR(INDEX(Applications!$E$6:$E$200,MATCH(ROW()-57,Applications!$W$6:$W$200,0)),"")</f>
        <v/>
      </c>
      <c r="F79" s="193">
        <f>IF($E79="","",COUNTIF(Applications!$E$6:$E$200,$E79))</f>
        <v/>
      </c>
      <c r="G79" s="169">
        <f>IF($E79="","",F79+ROW()/100000)</f>
        <v/>
      </c>
      <c r="H79" s="195">
        <f t="array" ref="H79:H79">IFERROR(INDEX(Applications!$C$6:$C$200,MATCH(4,Applications!$P$6:$P$200,0)),"")</f>
        <v/>
      </c>
      <c r="I79" s="195">
        <f t="array" ref="I79:I79">IFERROR(INDEX(Applications!$D$6:$D$200,MATCH(4,Applications!$P$6:$P$200,0)),"")</f>
        <v/>
      </c>
      <c r="J79" s="196">
        <f t="array" ref="J79:J79">IFERROR(INDEX(Applications!$N$6:$N$200,MATCH(4,Applications!$P$6:$P$200,0)),"")</f>
        <v/>
      </c>
    </row>
    <row r="80" ht="15.75" customHeight="1" s="164">
      <c r="E80" s="193">
        <f t="array" ref="E80:E80">IFERROR(INDEX(Applications!$E$6:$E$200,MATCH(ROW()-57,Applications!$W$6:$W$200,0)),"")</f>
        <v/>
      </c>
      <c r="F80" s="193">
        <f>IF($E80="","",COUNTIF(Applications!$E$6:$E$200,$E80))</f>
        <v/>
      </c>
      <c r="G80" s="169">
        <f>IF($E80="","",F80+ROW()/100000)</f>
        <v/>
      </c>
      <c r="H80" s="195">
        <f t="array" ref="H80:H80">IFERROR(INDEX(Applications!$C$6:$C$200,MATCH(5,Applications!$P$6:$P$200,0)),"")</f>
        <v/>
      </c>
      <c r="I80" s="195">
        <f t="array" ref="I80:I80">IFERROR(INDEX(Applications!$D$6:$D$200,MATCH(5,Applications!$P$6:$P$200,0)),"")</f>
        <v/>
      </c>
      <c r="J80" s="196">
        <f t="array" ref="J80:J80">IFERROR(INDEX(Applications!$N$6:$N$200,MATCH(5,Applications!$P$6:$P$200,0)),"")</f>
        <v/>
      </c>
    </row>
    <row r="81" ht="15.75" customHeight="1" s="164">
      <c r="E81" s="193">
        <f t="array" ref="E81:E81">IFERROR(INDEX(Applications!$E$6:$E$200,MATCH(ROW()-57,Applications!$W$6:$W$200,0)),"")</f>
        <v/>
      </c>
      <c r="F81" s="193">
        <f>IF($E81="","",COUNTIF(Applications!$E$6:$E$200,$E81))</f>
        <v/>
      </c>
      <c r="G81" s="169">
        <f>IF($E81="","",F81+ROW()/100000)</f>
        <v/>
      </c>
    </row>
    <row r="82" ht="15.75" customHeight="1" s="164">
      <c r="E82" s="193">
        <f t="array" ref="E82:E82">IFERROR(INDEX(Applications!$E$6:$E$200,MATCH(ROW()-57,Applications!$W$6:$W$200,0)),"")</f>
        <v/>
      </c>
      <c r="F82" s="193">
        <f>IF($E82="","",COUNTIF(Applications!$E$6:$E$200,$E82))</f>
        <v/>
      </c>
      <c r="G82" s="169">
        <f>IF($E82="","",F82+ROW()/100000)</f>
        <v/>
      </c>
    </row>
    <row r="83" ht="15.75" customHeight="1" s="164">
      <c r="E83" s="193">
        <f t="array" ref="E83:E83">IFERROR(INDEX(Applications!$E$6:$E$200,MATCH(ROW()-57,Applications!$W$6:$W$200,0)),"")</f>
        <v/>
      </c>
      <c r="F83" s="193">
        <f>IF($E83="","",COUNTIF(Applications!$E$6:$E$200,$E83))</f>
        <v/>
      </c>
      <c r="G83" s="169">
        <f>IF($E83="","",F83+ROW()/100000)</f>
        <v/>
      </c>
      <c r="H83" s="198" t="inlineStr">
        <is>
          <t>SCORE DE SANTÉ GLOBAL</t>
        </is>
      </c>
    </row>
    <row r="84" ht="15.75" customHeight="1" s="164">
      <c r="E84" s="193">
        <f t="array" ref="E84:E84">IFERROR(INDEX(Applications!$E$6:$E$200,MATCH(ROW()-57,Applications!$W$6:$W$200,0)),"")</f>
        <v/>
      </c>
      <c r="F84" s="193">
        <f>IF($E84="","",COUNTIF(Applications!$E$6:$E$200,$E84))</f>
        <v/>
      </c>
      <c r="G84" s="169">
        <f>IF($E84="","",F84+ROW()/100000)</f>
        <v/>
      </c>
      <c r="H84" s="206">
        <f>ROUND(AVERAGE('Analyse Avancée'!I32:I35),0)</f>
        <v/>
      </c>
      <c r="J84" s="207">
        <f>IF(H84&gt;=75,"Excellent",IF(H84&gt;=50,"Bon",IF(H84&gt;=25,"A renforcer","Urgent")))</f>
        <v/>
      </c>
    </row>
    <row r="85" ht="15.75" customHeight="1" s="164">
      <c r="E85" s="193">
        <f t="array" ref="E85:E85">IFERROR(INDEX(Applications!$E$6:$E$200,MATCH(ROW()-57,Applications!$W$6:$W$200,0)),"")</f>
        <v/>
      </c>
      <c r="F85" s="193">
        <f>IF($E85="","",COUNTIF(Applications!$E$6:$E$200,$E85))</f>
        <v/>
      </c>
      <c r="G85" s="169">
        <f>IF($E85="","",F85+ROW()/100000)</f>
        <v/>
      </c>
    </row>
    <row r="86" ht="15.75" customHeight="1" s="164">
      <c r="E86" s="193">
        <f t="array" ref="E86:E86">IFERROR(INDEX(Applications!$E$6:$E$200,MATCH(ROW()-57,Applications!$W$6:$W$200,0)),"")</f>
        <v/>
      </c>
      <c r="F86" s="193">
        <f>IF($E86="","",COUNTIF(Applications!$E$6:$E$200,$E86))</f>
        <v/>
      </c>
      <c r="G86" s="169">
        <f>IF($E86="","",F86+ROW()/100000)</f>
        <v/>
      </c>
    </row>
    <row r="87" ht="15.75" customHeight="1" s="164">
      <c r="E87" s="193">
        <f t="array" ref="E87:E87">IFERROR(INDEX(Applications!$E$6:$E$200,MATCH(ROW()-57,Applications!$W$6:$W$200,0)),"")</f>
        <v/>
      </c>
      <c r="F87" s="193">
        <f>IF($E87="","",COUNTIF(Applications!$E$6:$E$200,$E87))</f>
        <v/>
      </c>
      <c r="G87" s="169">
        <f>IF($E87="","",F87+ROW()/100000)</f>
        <v/>
      </c>
    </row>
    <row r="88" ht="15.75" customHeight="1" s="164">
      <c r="E88" s="193">
        <f t="array" ref="E88:E88">IFERROR(INDEX(Applications!$E$6:$E$200,MATCH(ROW()-57,Applications!$W$6:$W$200,0)),"")</f>
        <v/>
      </c>
      <c r="F88" s="193">
        <f>IF($E88="","",COUNTIF(Applications!$E$6:$E$200,$E88))</f>
        <v/>
      </c>
      <c r="G88" s="169">
        <f>IF($E88="","",F88+ROW()/100000)</f>
        <v/>
      </c>
      <c r="H88" s="201" t="inlineStr">
        <is>
          <t>Objectif configuré dans le Simulateur :</t>
        </is>
      </c>
      <c r="I88" s="200">
        <f>'Simulateur Objectifs'!D6</f>
        <v/>
      </c>
    </row>
    <row r="89" ht="15.75" customHeight="1" s="164">
      <c r="E89" s="193">
        <f t="array" ref="E89:E89">IFERROR(INDEX(Applications!$E$6:$E$200,MATCH(ROW()-57,Applications!$W$6:$W$200,0)),"")</f>
        <v/>
      </c>
      <c r="F89" s="193">
        <f>IF($E89="","",COUNTIF(Applications!$E$6:$E$200,$E89))</f>
        <v/>
      </c>
      <c r="G89" s="169">
        <f>IF($E89="","",F89+ROW()/100000)</f>
        <v/>
      </c>
      <c r="H89" s="201" t="inlineStr">
        <is>
          <t>Semaines estimées pour l'atteindre :</t>
        </is>
      </c>
      <c r="I89" s="200">
        <f>'Simulateur Objectifs'!D17</f>
        <v/>
      </c>
    </row>
    <row r="90" ht="15.75" customHeight="1" s="164">
      <c r="E90" s="193">
        <f t="array" ref="E90:E90">IFERROR(INDEX(Applications!$E$6:$E$200,MATCH(ROW()-57,Applications!$W$6:$W$200,0)),"")</f>
        <v/>
      </c>
      <c r="F90" s="193">
        <f>IF($E90="","",COUNTIF(Applications!$E$6:$E$200,$E90))</f>
        <v/>
      </c>
      <c r="G90" s="169">
        <f>IF($E90="","",F90+ROW()/100000)</f>
        <v/>
      </c>
    </row>
    <row r="91" ht="15.75" customHeight="1" s="164">
      <c r="E91" s="193">
        <f t="array" ref="E91:E91">IFERROR(INDEX(Applications!$E$6:$E$200,MATCH(ROW()-57,Applications!$W$6:$W$200,0)),"")</f>
        <v/>
      </c>
      <c r="F91" s="193">
        <f>IF($E91="","",COUNTIF(Applications!$E$6:$E$200,$E91))</f>
        <v/>
      </c>
      <c r="G91" s="169">
        <f>IF($E91="","",F91+ROW()/100000)</f>
        <v/>
      </c>
      <c r="H91" s="208" t="n"/>
    </row>
    <row r="92" ht="15.75" customHeight="1" s="164">
      <c r="E92" s="193">
        <f t="array" ref="E92:E92">IFERROR(INDEX(Applications!$E$6:$E$200,MATCH(ROW()-57,Applications!$W$6:$W$200,0)),"")</f>
        <v/>
      </c>
      <c r="F92" s="193">
        <f>IF($E92="","",COUNTIF(Applications!$E$6:$E$200,$E92))</f>
        <v/>
      </c>
      <c r="G92" s="169">
        <f>IF($E92="","",F92+ROW()/100000)</f>
        <v/>
      </c>
    </row>
    <row r="93" ht="15.75" customHeight="1" s="164">
      <c r="E93" s="193">
        <f t="array" ref="E93:E93">IFERROR(INDEX(Applications!$E$6:$E$200,MATCH(ROW()-57,Applications!$W$6:$W$200,0)),"")</f>
        <v/>
      </c>
      <c r="F93" s="193">
        <f>IF($E93="","",COUNTIF(Applications!$E$6:$E$200,$E93))</f>
        <v/>
      </c>
      <c r="G93" s="169">
        <f>IF($E93="","",F93+ROW()/100000)</f>
        <v/>
      </c>
      <c r="H93" s="208" t="n"/>
    </row>
    <row r="94" ht="15.75" customHeight="1" s="164">
      <c r="E94" s="193">
        <f t="array" ref="E94:E94">IFERROR(INDEX(Applications!$E$6:$E$200,MATCH(ROW()-57,Applications!$W$6:$W$200,0)),"")</f>
        <v/>
      </c>
      <c r="F94" s="193">
        <f>IF($E94="","",COUNTIF(Applications!$E$6:$E$200,$E94))</f>
        <v/>
      </c>
      <c r="G94" s="169">
        <f>IF($E94="","",F94+ROW()/100000)</f>
        <v/>
      </c>
    </row>
    <row r="95" ht="15.75" customHeight="1" s="164">
      <c r="E95" s="193">
        <f t="array" ref="E95:E95">IFERROR(INDEX(Applications!$E$6:$E$200,MATCH(ROW()-57,Applications!$W$6:$W$200,0)),"")</f>
        <v/>
      </c>
      <c r="F95" s="193">
        <f>IF($E95="","",COUNTIF(Applications!$E$6:$E$200,$E95))</f>
        <v/>
      </c>
      <c r="G95" s="169">
        <f>IF($E95="","",F95+ROW()/100000)</f>
        <v/>
      </c>
      <c r="H95" s="208" t="n"/>
    </row>
    <row r="96" ht="15.75" customHeight="1" s="164">
      <c r="E96" s="193">
        <f t="array" ref="E96:E96">IFERROR(INDEX(Applications!$E$6:$E$200,MATCH(ROW()-57,Applications!$W$6:$W$200,0)),"")</f>
        <v/>
      </c>
      <c r="F96" s="193">
        <f>IF($E96="","",COUNTIF(Applications!$E$6:$E$200,$E96))</f>
        <v/>
      </c>
      <c r="G96" s="169">
        <f>IF($E96="","",F96+ROW()/100000)</f>
        <v/>
      </c>
    </row>
    <row r="97" ht="15.75" customHeight="1" s="164">
      <c r="E97" s="193">
        <f t="array" ref="E97:E97">IFERROR(INDEX(Applications!$E$6:$E$200,MATCH(ROW()-57,Applications!$W$6:$W$200,0)),"")</f>
        <v/>
      </c>
      <c r="F97" s="193">
        <f>IF($E97="","",COUNTIF(Applications!$E$6:$E$200,$E97))</f>
        <v/>
      </c>
      <c r="G97" s="169">
        <f>IF($E97="","",F97+ROW()/100000)</f>
        <v/>
      </c>
    </row>
    <row r="98" ht="15.75" customHeight="1" s="164">
      <c r="H98" s="198" t="inlineStr">
        <is>
          <t>BADGES DE PROGRESSION</t>
        </is>
      </c>
    </row>
    <row r="99" ht="15.75" customHeight="1" s="164">
      <c r="H99" s="209" t="inlineStr">
        <is>
          <t>Palier I — Premier pas</t>
        </is>
      </c>
      <c r="J99" s="210">
        <f>IF(B7&gt;=1,"Atteint","1 candidature")</f>
        <v/>
      </c>
    </row>
    <row r="100" ht="15.75" customHeight="1" s="164">
      <c r="H100" s="209" t="inlineStr">
        <is>
          <t>Palier II — Sur la voie</t>
        </is>
      </c>
      <c r="J100" s="210">
        <f>IF(B7&gt;=10,"Atteint","10 candidatures")</f>
        <v/>
      </c>
    </row>
    <row r="101" ht="15.75" customHeight="1" s="164">
      <c r="H101" s="209" t="inlineStr">
        <is>
          <t>Palier III — Perseverance</t>
        </is>
      </c>
      <c r="J101" s="210">
        <f>IF(B7&gt;=25,"Atteint","25 candidatures")</f>
        <v/>
      </c>
    </row>
    <row r="102" ht="15.75" customHeight="1" s="164">
      <c r="H102" s="209" t="inlineStr">
        <is>
          <t>Palier IV — Premier entretien</t>
        </is>
      </c>
      <c r="J102" s="210">
        <f>IF(J7&gt;=1,"Atteint","1 entretien")</f>
        <v/>
      </c>
    </row>
    <row r="103" ht="15.75" customHeight="1" s="164">
      <c r="H103" s="209" t="inlineStr">
        <is>
          <t>Palier V — Objectif hebdomadaire</t>
        </is>
      </c>
      <c r="J103" s="210">
        <f>IF('Analyse Avancée'!C9&gt;0,"Atteint","En cours")</f>
        <v/>
      </c>
    </row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>
      <c r="B122" s="211" t="inlineStr">
        <is>
          <t>Mois</t>
        </is>
      </c>
      <c r="C122" s="211" t="inlineStr">
        <is>
          <t>Candidatures</t>
        </is>
      </c>
    </row>
    <row r="123" ht="15.75" customHeight="1" s="164">
      <c r="B123" s="196">
        <f>TEXT(EDATE(TODAY(),-5),"mmm yy")</f>
        <v/>
      </c>
      <c r="C123" s="196">
        <f>SUMPRODUCT((YEAR(Applications!$F$6:$F$200)=YEAR(EDATE(TODAY(),-5)))*(MONTH(Applications!$F$6:$F$200)=MONTH(EDATE(TODAY(),-5))))</f>
        <v/>
      </c>
    </row>
    <row r="124" ht="15.75" customHeight="1" s="164">
      <c r="B124" s="196">
        <f>TEXT(EDATE(TODAY(),-4),"mmm yy")</f>
        <v/>
      </c>
      <c r="C124" s="196">
        <f>SUMPRODUCT((YEAR(Applications!$F$6:$F$200)=YEAR(EDATE(TODAY(),-4)))*(MONTH(Applications!$F$6:$F$200)=MONTH(EDATE(TODAY(),-4))))</f>
        <v/>
      </c>
    </row>
    <row r="125" ht="15.75" customHeight="1" s="164">
      <c r="B125" s="196">
        <f>TEXT(EDATE(TODAY(),-3),"mmm yy")</f>
        <v/>
      </c>
      <c r="C125" s="196">
        <f>SUMPRODUCT((YEAR(Applications!$F$6:$F$200)=YEAR(EDATE(TODAY(),-3)))*(MONTH(Applications!$F$6:$F$200)=MONTH(EDATE(TODAY(),-3))))</f>
        <v/>
      </c>
    </row>
    <row r="126" ht="15.75" customHeight="1" s="164">
      <c r="B126" s="196">
        <f>TEXT(EDATE(TODAY(),-2),"mmm yy")</f>
        <v/>
      </c>
      <c r="C126" s="196">
        <f>SUMPRODUCT((YEAR(Applications!$F$6:$F$200)=YEAR(EDATE(TODAY(),-2)))*(MONTH(Applications!$F$6:$F$200)=MONTH(EDATE(TODAY(),-2))))</f>
        <v/>
      </c>
    </row>
    <row r="127" ht="15.75" customHeight="1" s="164">
      <c r="B127" s="196">
        <f>TEXT(EDATE(TODAY(),-1),"mmm yy")</f>
        <v/>
      </c>
      <c r="C127" s="196">
        <f>SUMPRODUCT((YEAR(Applications!$F$6:$F$200)=YEAR(EDATE(TODAY(),-1)))*(MONTH(Applications!$F$6:$F$200)=MONTH(EDATE(TODAY(),-1))))</f>
        <v/>
      </c>
    </row>
    <row r="128" ht="15.75" customHeight="1" s="164">
      <c r="B128" s="196">
        <f>TEXT(EDATE(TODAY(),-0),"mmm yy")</f>
        <v/>
      </c>
      <c r="C128" s="196">
        <f>SUMPRODUCT((YEAR(Applications!$F$6:$F$200)=YEAR(EDATE(TODAY(),-0)))*(MONTH(Applications!$F$6:$F$200)=MONTH(EDATE(TODAY(),-0))))</f>
        <v/>
      </c>
    </row>
    <row r="129" ht="15.75" customHeight="1" s="164"/>
    <row r="130" ht="15.75" customHeight="1" s="164">
      <c r="B130" s="192" t="n"/>
    </row>
    <row r="131" ht="3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>
      <c r="B150" s="192" t="n"/>
    </row>
    <row r="151" ht="3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>
      <c r="Q200" s="169">
        <f>COUNTIFS(Applications!F6:F200,"&gt;="&amp;(TODAY()-WEEKDAY(TODAY(),3)))-COUNTIFS(Applications!F6:F200,"&gt;="&amp;(TODAY()-WEEKDAY(TODAY(),3)-7),Applications!F6:F200,"&lt;"&amp;(TODAY()-WEEKDAY(TODAY(),3)))</f>
        <v/>
      </c>
      <c r="R200" s="212">
        <f>L7</f>
        <v/>
      </c>
    </row>
    <row r="201" ht="15.75" customHeight="1" s="164">
      <c r="R201" s="170">
        <f>1-L7</f>
        <v/>
      </c>
    </row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47">
    <mergeCell ref="L7:M7"/>
    <mergeCell ref="B7:C7"/>
    <mergeCell ref="D1:E1"/>
    <mergeCell ref="H1:I1"/>
    <mergeCell ref="J1:K1"/>
    <mergeCell ref="P1:Q1"/>
    <mergeCell ref="F6:G6"/>
    <mergeCell ref="F1:G1"/>
    <mergeCell ref="J102:K102"/>
    <mergeCell ref="F7:G7"/>
    <mergeCell ref="B2:N3"/>
    <mergeCell ref="H56:I56"/>
    <mergeCell ref="D6:E6"/>
    <mergeCell ref="H68:I68"/>
    <mergeCell ref="AB1:AC1"/>
    <mergeCell ref="H6:I6"/>
    <mergeCell ref="J6:K6"/>
    <mergeCell ref="J99:K99"/>
    <mergeCell ref="V1:W1"/>
    <mergeCell ref="B4:N4"/>
    <mergeCell ref="J84:K86"/>
    <mergeCell ref="B1:C1"/>
    <mergeCell ref="B8:C8"/>
    <mergeCell ref="N1:O1"/>
    <mergeCell ref="L8:M8"/>
    <mergeCell ref="J101:K101"/>
    <mergeCell ref="F8:G8"/>
    <mergeCell ref="D7:E7"/>
    <mergeCell ref="J103:K103"/>
    <mergeCell ref="H7:I7"/>
    <mergeCell ref="J100:K100"/>
    <mergeCell ref="T1:U1"/>
    <mergeCell ref="J7:K7"/>
    <mergeCell ref="L1:M1"/>
    <mergeCell ref="B11:N11"/>
    <mergeCell ref="H98:K98"/>
    <mergeCell ref="H84:I86"/>
    <mergeCell ref="D8:E8"/>
    <mergeCell ref="B6:C6"/>
    <mergeCell ref="H8:I8"/>
    <mergeCell ref="L6:M6"/>
    <mergeCell ref="X1:Y1"/>
    <mergeCell ref="Z1:AA1"/>
    <mergeCell ref="H74:J74"/>
    <mergeCell ref="J8:K8"/>
    <mergeCell ref="H83:J83"/>
    <mergeCell ref="R1:S1"/>
  </mergeCells>
  <conditionalFormatting sqref="F35:F49">
    <cfRule type="colorScale" priority="2">
      <colorScale>
        <cfvo type="min" val="0"/>
        <cfvo type="max" val="0"/>
        <color rgb="FFFFFFFF"/>
        <color rgb="FF2E5C9A"/>
      </colorScale>
    </cfRule>
  </conditionalFormatting>
  <conditionalFormatting sqref="J76:K80">
    <cfRule type="expression" rank="0" priority="3" equalAverage="0" aboveAverage="0" dxfId="0" text="" percent="0" bottom="0">
      <formula>LEFT(J76,1)="✅"</formula>
    </cfRule>
  </conditionalFormatting>
  <conditionalFormatting sqref="J84">
    <cfRule type="expression" rank="0" priority="4" equalAverage="0" aboveAverage="0" dxfId="1" text="" percent="0" bottom="0">
      <formula>$H$84&gt;=75</formula>
    </cfRule>
    <cfRule type="expression" rank="0" priority="5" equalAverage="0" aboveAverage="0" dxfId="2" text="" percent="0" bottom="0">
      <formula>AND($H$84&gt;=50,$H$84&lt;75)</formula>
    </cfRule>
    <cfRule type="expression" rank="0" priority="6" equalAverage="0" aboveAverage="0" dxfId="3" text="" percent="0" bottom="0">
      <formula>AND($H$84&gt;=25,$H$84&lt;50)</formula>
    </cfRule>
    <cfRule type="expression" rank="0" priority="7" equalAverage="0" aboveAverage="0" dxfId="4" text="" percent="0" bottom="0">
      <formula>$H$84&lt;25</formula>
    </cfRule>
  </conditionalFormatting>
  <conditionalFormatting sqref="J99:K103">
    <cfRule type="expression" rank="0" priority="8" equalAverage="0" aboveAverage="0" dxfId="5" text="" percent="0" bottom="0">
      <formula>$J99="Atteint"</formula>
    </cfRule>
  </conditionalFormatting>
  <dataValidations count="2">
    <dataValidation sqref="I69" showDropDown="0" showInputMessage="0" showErrorMessage="0" allowBlank="1" type="list" errorStyle="stop" operator="between">
      <formula1>Dashboard!$E$58:$E$97</formula1>
      <formula2>0</formula2>
    </dataValidation>
    <dataValidation sqref="I46" showDropDown="0" showInputMessage="0" showErrorMessage="0" allowBlank="1" type="list" errorStyle="stop" operator="between">
      <formula1>$E$35:$E$49</formula1>
      <formula2>0</formula2>
    </dataValidation>
  </dataValidations>
  <hyperlinks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landscape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B1:AC2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34" customWidth="1" style="163" min="2" max="2"/>
    <col width="10" customWidth="1" style="163" min="3" max="3"/>
    <col width="14" customWidth="1" style="163" min="4" max="6"/>
    <col width="8.710000000000001" customWidth="1" style="163" min="7" max="29"/>
  </cols>
  <sheetData>
    <row r="1" ht="19.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5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COMPARATEUR D'OFFRES</t>
        </is>
      </c>
    </row>
    <row r="3" ht="15" customHeight="1" s="164"/>
    <row r="4" ht="15" customHeight="1" s="164">
      <c r="B4" s="258" t="inlineStr">
        <is>
          <t>Remplissez les cellules en jaune pour comparer jusqu'à 3 offres sur des critères pondérés.</t>
        </is>
      </c>
    </row>
    <row r="5" ht="15" customHeight="1" s="164">
      <c r="D5" s="275" t="inlineStr">
        <is>
          <t>Nom entreprise :</t>
        </is>
      </c>
      <c r="E5" s="275" t="inlineStr">
        <is>
          <t>Nom entreprise :</t>
        </is>
      </c>
      <c r="F5" s="275" t="inlineStr">
        <is>
          <t>Nom entreprise :</t>
        </is>
      </c>
    </row>
    <row r="6" ht="15" customHeight="1" s="164">
      <c r="B6" s="184" t="inlineStr">
        <is>
          <t>Critère</t>
        </is>
      </c>
      <c r="C6" s="184" t="inlineStr">
        <is>
          <t>Poids (%)</t>
        </is>
      </c>
      <c r="D6" s="184" t="inlineStr">
        <is>
          <t>Offre A</t>
        </is>
      </c>
      <c r="E6" s="184" t="inlineStr">
        <is>
          <t>Offre B</t>
        </is>
      </c>
      <c r="F6" s="184" t="inlineStr">
        <is>
          <t>Offre C</t>
        </is>
      </c>
    </row>
    <row r="7" ht="24" customHeight="1" s="164">
      <c r="B7" s="243" t="inlineStr">
        <is>
          <t>Salaire proposé (net mensuel, monnaie locale)</t>
        </is>
      </c>
      <c r="C7" s="276" t="n">
        <v>0.25</v>
      </c>
      <c r="D7" s="277" t="n">
        <v>5</v>
      </c>
      <c r="E7" s="277" t="n">
        <v>5</v>
      </c>
      <c r="F7" s="277" t="n">
        <v>5</v>
      </c>
    </row>
    <row r="8" ht="24" customHeight="1" s="164">
      <c r="B8" s="243" t="inlineStr">
        <is>
          <t>Distance / trajet domicile-travail</t>
        </is>
      </c>
      <c r="C8" s="276" t="n">
        <v>0.1</v>
      </c>
      <c r="D8" s="277" t="n">
        <v>5</v>
      </c>
      <c r="E8" s="277" t="n">
        <v>5</v>
      </c>
      <c r="F8" s="277" t="n">
        <v>5</v>
      </c>
    </row>
    <row r="9" ht="24" customHeight="1" s="164">
      <c r="B9" s="243" t="inlineStr">
        <is>
          <t>Équilibre vie pro/perso ressenti</t>
        </is>
      </c>
      <c r="C9" s="276" t="n">
        <v>0.15</v>
      </c>
      <c r="D9" s="277" t="n">
        <v>5</v>
      </c>
      <c r="E9" s="277" t="n">
        <v>5</v>
      </c>
      <c r="F9" s="277" t="n">
        <v>5</v>
      </c>
    </row>
    <row r="10" ht="24" customHeight="1" s="164">
      <c r="B10" s="243" t="inlineStr">
        <is>
          <t>Perspectives d'évolution</t>
        </is>
      </c>
      <c r="C10" s="276" t="n">
        <v>0.15</v>
      </c>
      <c r="D10" s="277" t="n">
        <v>5</v>
      </c>
      <c r="E10" s="277" t="n">
        <v>5</v>
      </c>
      <c r="F10" s="277" t="n">
        <v>5</v>
      </c>
    </row>
    <row r="11" ht="24" customHeight="1" s="164">
      <c r="B11" s="243" t="inlineStr">
        <is>
          <t>Réputation / stabilité de l'entreprise</t>
        </is>
      </c>
      <c r="C11" s="276" t="n">
        <v>0.15</v>
      </c>
      <c r="D11" s="277" t="n">
        <v>5</v>
      </c>
      <c r="E11" s="277" t="n">
        <v>5</v>
      </c>
      <c r="F11" s="277" t="n">
        <v>5</v>
      </c>
    </row>
    <row r="12" ht="24" customHeight="1" s="164">
      <c r="B12" s="243" t="inlineStr">
        <is>
          <t>Intérêt technique du poste</t>
        </is>
      </c>
      <c r="C12" s="276" t="n">
        <v>0.2</v>
      </c>
      <c r="D12" s="277" t="n">
        <v>5</v>
      </c>
      <c r="E12" s="277" t="n">
        <v>5</v>
      </c>
      <c r="F12" s="277" t="n">
        <v>5</v>
      </c>
    </row>
    <row r="13" ht="15" customHeight="1" s="164">
      <c r="B13" s="278" t="inlineStr">
        <is>
          <t>Total des poids (doit faire 100%)</t>
        </is>
      </c>
      <c r="C13" s="279">
        <f>SUM(C7:C12)</f>
        <v/>
      </c>
    </row>
    <row r="14" ht="15" customHeight="1" s="164"/>
    <row r="15" ht="19.5" customHeight="1" s="164">
      <c r="B15" s="198" t="inlineStr">
        <is>
          <t>SCORE PONDÉRÉ (/10)</t>
        </is>
      </c>
      <c r="D15" s="280">
        <f>SUMPRODUCT($C$7:$C$12,D7:D12)</f>
        <v/>
      </c>
      <c r="E15" s="280">
        <f>SUMPRODUCT($C$7:$C$12,E7:E12)</f>
        <v/>
      </c>
      <c r="F15" s="280">
        <f>SUMPRODUCT($C$7:$C$12,F7:F12)</f>
        <v/>
      </c>
    </row>
    <row r="16" ht="15" customHeight="1" s="164"/>
    <row r="17" ht="15" customHeight="1" s="164">
      <c r="B17" s="199" t="inlineStr">
        <is>
          <t>Recommandation</t>
        </is>
      </c>
      <c r="D17" s="281">
        <f>IF(AND(D15&gt;=E15,D15&gt;=F15),"→ Offre A recommandée",IF(AND(E15&gt;=D15,E15&gt;=F15),"→ Offre B recommandée","→ Offre C recommandée"))</f>
        <v/>
      </c>
    </row>
    <row r="18" ht="15" customHeight="1" s="164"/>
    <row r="19" ht="15" customHeight="1" s="164"/>
    <row r="20" ht="15" customHeight="1" s="164">
      <c r="B20" s="198" t="inlineStr">
        <is>
          <t>CONVERTISSEUR DE SALAIRE (ESTIMATIF)</t>
        </is>
      </c>
    </row>
    <row r="21" ht="15" customHeight="1" s="164">
      <c r="B21" s="264" t="inlineStr">
        <is>
          <t>Taux utilisés à titre indicatif — vérifiez le taux du jour avant toute décision.</t>
        </is>
      </c>
    </row>
    <row r="22" ht="15.75" customHeight="1" s="164"/>
    <row r="23" ht="15" customHeight="1" s="164">
      <c r="B23" s="195" t="inlineStr">
        <is>
          <t>Montant (brut/mois, monnaie locale) :</t>
        </is>
      </c>
      <c r="D23" s="282" t="n">
        <v>3200</v>
      </c>
    </row>
    <row r="24" ht="15" customHeight="1" s="164">
      <c r="B24" s="195" t="inlineStr">
        <is>
          <t>Taux devise locale → EUR (indicatif) :</t>
        </is>
      </c>
      <c r="D24" s="283" t="n">
        <v>0.25</v>
      </c>
    </row>
    <row r="25" ht="15" customHeight="1" s="164">
      <c r="B25" s="195" t="inlineStr">
        <is>
          <t>Taux devise locale → USD (indicatif) :</t>
        </is>
      </c>
      <c r="D25" s="283" t="n">
        <v>0.27</v>
      </c>
    </row>
    <row r="26" ht="15.75" customHeight="1" s="164"/>
    <row r="27" ht="15" customHeight="1" s="164">
      <c r="B27" s="238" t="inlineStr">
        <is>
          <t>≈ en EUR / mois</t>
        </is>
      </c>
      <c r="D27" s="284">
        <f>$D$23*$D$24</f>
        <v/>
      </c>
    </row>
    <row r="28" ht="15" customHeight="1" s="164">
      <c r="B28" s="238" t="inlineStr">
        <is>
          <t>≈ en USD / mois</t>
        </is>
      </c>
      <c r="D28" s="284">
        <f>$D$23*$D$25</f>
        <v/>
      </c>
    </row>
    <row r="29" ht="15" customHeight="1" s="164">
      <c r="B29" s="285" t="inlineStr">
        <is>
          <t>≈ Net annuel estimé EUR (x12, -25% charges)</t>
        </is>
      </c>
      <c r="D29" s="286">
        <f>$D$23*$D$24*12*0.75</f>
        <v/>
      </c>
    </row>
    <row r="30" ht="15.75" customHeight="1" s="164"/>
    <row r="31" ht="15.75" customHeight="1" s="164"/>
    <row r="32" ht="15.75" customHeight="1" s="164"/>
    <row r="33" ht="15.75" customHeight="1" s="164"/>
    <row r="34" ht="15.75" customHeight="1" s="164"/>
    <row r="35" ht="15.75" customHeight="1" s="164"/>
    <row r="36" ht="15.75" customHeight="1" s="164"/>
    <row r="37" ht="15.75" customHeight="1" s="164"/>
    <row r="38" ht="15.75" customHeight="1" s="164"/>
    <row r="39" ht="15.75" customHeight="1" s="164"/>
    <row r="40" ht="15.75" customHeight="1" s="164"/>
    <row r="41" ht="15.75" customHeight="1" s="164"/>
    <row r="42" ht="15.75" customHeight="1" s="164"/>
    <row r="43" ht="15.75" customHeight="1" s="164"/>
    <row r="44" ht="15.75" customHeight="1" s="164"/>
    <row r="45" ht="15.75" customHeight="1" s="164"/>
    <row r="46" ht="15.75" customHeight="1" s="164"/>
    <row r="47" ht="15.75" customHeight="1" s="164"/>
    <row r="48" ht="15.75" customHeight="1" s="164"/>
    <row r="49" ht="15.75" customHeight="1" s="164"/>
    <row r="50" ht="15.75" customHeight="1" s="164"/>
    <row r="51" ht="15.75" customHeight="1" s="164"/>
    <row r="52" ht="15.75" customHeight="1" s="164"/>
    <row r="53" ht="15.75" customHeight="1" s="164"/>
    <row r="54" ht="15.75" customHeight="1" s="164"/>
    <row r="55" ht="15.75" customHeight="1" s="164"/>
    <row r="56" ht="15.75" customHeight="1" s="164"/>
    <row r="57" ht="15.75" customHeight="1" s="164"/>
    <row r="58" ht="15.75" customHeight="1" s="164"/>
    <row r="59" ht="15.75" customHeight="1" s="164"/>
    <row r="60" ht="15.7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19">
    <mergeCell ref="D1:E1"/>
    <mergeCell ref="H1:I1"/>
    <mergeCell ref="J1:K1"/>
    <mergeCell ref="P1:Q1"/>
    <mergeCell ref="D17:F17"/>
    <mergeCell ref="B2:H3"/>
    <mergeCell ref="B20:E20"/>
    <mergeCell ref="B21:F21"/>
    <mergeCell ref="AB1:AC1"/>
    <mergeCell ref="V1:W1"/>
    <mergeCell ref="B1:C1"/>
    <mergeCell ref="N1:O1"/>
    <mergeCell ref="B29:C29"/>
    <mergeCell ref="T1:U1"/>
    <mergeCell ref="L1:M1"/>
    <mergeCell ref="X1:Y1"/>
    <mergeCell ref="Z1:AA1"/>
    <mergeCell ref="F1:G1"/>
    <mergeCell ref="R1:S1"/>
  </mergeCells>
  <conditionalFormatting sqref="C13">
    <cfRule type="expression" rank="0" priority="2" equalAverage="0" aboveAverage="0" dxfId="28" text="" percent="0" bottom="0">
      <formula>C13&lt;&gt;1</formula>
    </cfRule>
  </conditionalFormatting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0"/>
  </sheetPr>
  <dimension ref="B1:AC4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12" customWidth="1" style="163" min="2" max="2"/>
    <col width="27.29" customWidth="1" style="163" min="3" max="3"/>
    <col width="12" customWidth="1" style="163" min="4" max="8"/>
    <col width="8.710000000000001" customWidth="1" style="163" min="9" max="9"/>
    <col hidden="1" width="13" customWidth="1" style="163" min="10" max="10"/>
    <col width="8.710000000000001" customWidth="1" style="163" min="11" max="29"/>
  </cols>
  <sheetData>
    <row r="1" ht="1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5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SIMULATEUR D'ENTRETIEN</t>
        </is>
      </c>
    </row>
    <row r="3" ht="15" customHeight="1" s="164"/>
    <row r="4" ht="15" customHeight="1" s="164">
      <c r="B4" s="287" t="inlineStr">
        <is>
          <t>Deux façons de changer de question : (1) tapez un numéro de 1 à 25 dans la case jaune ci-dessous, OU (2) laissez sur "Auto" et appuyez sur F9 pour un tirage aléatoire.</t>
        </is>
      </c>
    </row>
    <row r="5" ht="15" customHeight="1" s="164"/>
    <row r="6" ht="15" customHeight="1" s="164">
      <c r="B6" s="195" t="inlineStr">
        <is>
          <t>Numéro de question (1-25, ou "Auto") :</t>
        </is>
      </c>
      <c r="D6" s="272" t="n">
        <v>7</v>
      </c>
      <c r="F6" s="169">
        <f>IF($D$6="Auto",RANDBETWEEN(1,25),VALUE($D$6))</f>
        <v/>
      </c>
      <c r="J6" s="169" t="inlineStr">
        <is>
          <t>Quelle est la différence entre le test fonctionnel et le test non-fonctionnel ?</t>
        </is>
      </c>
    </row>
    <row r="7" ht="15" customHeight="1" s="164">
      <c r="J7" s="169" t="inlineStr">
        <is>
          <t>Parlez-moi de vous et de votre parcours.</t>
        </is>
      </c>
    </row>
    <row r="8" ht="15" customHeight="1" s="164">
      <c r="B8" s="198" t="inlineStr">
        <is>
          <t>QUESTION :</t>
        </is>
      </c>
      <c r="J8" s="169" t="inlineStr">
        <is>
          <t>Pourquoi ce poste vous intéresse-t-il précisément ?</t>
        </is>
      </c>
    </row>
    <row r="9" ht="15" customHeight="1" s="164">
      <c r="B9" s="288">
        <f t="array" ref="B9:B9">INDEX($J$6:$J$30,$F$6)</f>
        <v/>
      </c>
      <c r="J9" s="169" t="inlineStr">
        <is>
          <t>Quelle est votre plus grande force professionnelle ?</t>
        </is>
      </c>
    </row>
    <row r="10" ht="15" customHeight="1" s="164">
      <c r="J10" s="169" t="inlineStr">
        <is>
          <t>Décrivez une situation où vous avez dû résoudre un problème complexe.</t>
        </is>
      </c>
    </row>
    <row r="11" ht="15" customHeight="1" s="164">
      <c r="J11" s="169" t="inlineStr">
        <is>
          <t>Comment priorisez-vous vos tâches quand les délais sont serrés ?</t>
        </is>
      </c>
    </row>
    <row r="12" ht="15" customHeight="1" s="164">
      <c r="J12" s="169" t="inlineStr">
        <is>
          <t>Décrivez un échec professionnel et ce que vous en avez appris.</t>
        </is>
      </c>
    </row>
    <row r="13" ht="15" customHeight="1" s="164">
      <c r="B13" s="199" t="inlineStr">
        <is>
          <t>Vos notes de préparation pour cette question :</t>
        </is>
      </c>
      <c r="J13" s="169" t="inlineStr">
        <is>
          <t>Comment gérez-vous un désaccord avec un collègue ou un responsable ?</t>
        </is>
      </c>
    </row>
    <row r="14" ht="15" customHeight="1" s="164">
      <c r="B14" s="289" t="n"/>
      <c r="C14" s="290" t="n"/>
      <c r="D14" s="290" t="n"/>
      <c r="E14" s="290" t="n"/>
      <c r="F14" s="290" t="n"/>
      <c r="G14" s="290" t="n"/>
      <c r="H14" s="291" t="n"/>
      <c r="J14" s="169" t="inlineStr">
        <is>
          <t>Donnez un exemple de travail d'équipe réussi.</t>
        </is>
      </c>
    </row>
    <row r="15" ht="15" customHeight="1" s="164">
      <c r="B15" s="292" t="n"/>
      <c r="H15" s="293" t="n"/>
      <c r="J15" s="169" t="inlineStr">
        <is>
          <t>Quelle est votre expérience avec [outil/logiciel clé de votre domaine] ?</t>
        </is>
      </c>
    </row>
    <row r="16" ht="15" customHeight="1" s="164">
      <c r="B16" s="292" t="n"/>
      <c r="H16" s="293" t="n"/>
      <c r="J16" s="169" t="inlineStr">
        <is>
          <t>Comment restez-vous organisé(e) sur plusieurs projets en parallèle ?</t>
        </is>
      </c>
    </row>
    <row r="17" ht="15" customHeight="1" s="164">
      <c r="B17" s="292" t="n"/>
      <c r="H17" s="293" t="n"/>
      <c r="J17" s="169" t="inlineStr">
        <is>
          <t>Décrivez une situation où vous avez pris une initiative sans qu'on vous le demande.</t>
        </is>
      </c>
    </row>
    <row r="18" ht="15" customHeight="1" s="164">
      <c r="B18" s="292" t="n"/>
      <c r="H18" s="293" t="n"/>
      <c r="J18" s="169" t="inlineStr">
        <is>
          <t>Comment réagissez-vous face à une critique constructive ?</t>
        </is>
      </c>
    </row>
    <row r="19" ht="15" customHeight="1" s="164">
      <c r="B19" s="292" t="n"/>
      <c r="H19" s="293" t="n"/>
      <c r="J19" s="169" t="inlineStr">
        <is>
          <t>Pourquoi souhaitez-vous quitter votre poste actuel / quitter vos études ?</t>
        </is>
      </c>
    </row>
    <row r="20" ht="15" customHeight="1" s="164">
      <c r="B20" s="294" t="n"/>
      <c r="C20" s="295" t="n"/>
      <c r="D20" s="295" t="n"/>
      <c r="E20" s="295" t="n"/>
      <c r="F20" s="295" t="n"/>
      <c r="G20" s="295" t="n"/>
      <c r="H20" s="296" t="n"/>
      <c r="J20" s="169" t="inlineStr">
        <is>
          <t>Où vous voyez-vous dans 3 à 5 ans ?</t>
        </is>
      </c>
    </row>
    <row r="21" ht="15" customHeight="1" s="164">
      <c r="J21" s="169" t="inlineStr">
        <is>
          <t>Comment gérez-vous le stress ou la pression ?</t>
        </is>
      </c>
    </row>
    <row r="22" ht="15" customHeight="1" s="164">
      <c r="B22" s="198" t="inlineStr">
        <is>
          <t>AUTO-ÉVALUATION DE VOTRE RÉPONSE (1 À 5)</t>
        </is>
      </c>
      <c r="J22" s="169" t="inlineStr">
        <is>
          <t>Décrivez votre méthode de travail sur un projet du début à la fin.</t>
        </is>
      </c>
    </row>
    <row r="23" ht="15" customHeight="1" s="164">
      <c r="B23" s="297" t="inlineStr">
        <is>
          <t>Clarté de la réponse</t>
        </is>
      </c>
      <c r="D23" s="297" t="inlineStr">
        <is>
          <t>Exemple concret donné</t>
        </is>
      </c>
      <c r="F23" s="297" t="inlineStr">
        <is>
          <t>Confiance / aisance</t>
        </is>
      </c>
      <c r="H23" s="297" t="inlineStr">
        <is>
          <t>Score global</t>
        </is>
      </c>
      <c r="J23" s="169" t="inlineStr">
        <is>
          <t>Qu'est-ce qui vous motive au quotidien dans votre travail ?</t>
        </is>
      </c>
    </row>
    <row r="24" ht="17.25" customHeight="1" s="164">
      <c r="B24" s="272" t="n">
        <v>3</v>
      </c>
      <c r="D24" s="272" t="n">
        <v>3</v>
      </c>
      <c r="F24" s="272" t="n">
        <v>3</v>
      </c>
      <c r="H24" s="298">
        <f>AVERAGE(B24,D24,F24)</f>
        <v/>
      </c>
      <c r="J24" s="169" t="inlineStr">
        <is>
          <t>Comment abordez-vous l'apprentissage d'une nouvelle compétence ?</t>
        </is>
      </c>
    </row>
    <row r="25" ht="15" customHeight="1" s="164">
      <c r="J25" s="169" t="inlineStr">
        <is>
          <t>Décrivez une situation où vous avez dû convaincre quelqu'un.</t>
        </is>
      </c>
    </row>
    <row r="26" ht="15" customHeight="1" s="164">
      <c r="B26" s="299" t="inlineStr">
        <is>
          <t>Notez-vous honnêtement après CHAQUE question pratiquée, puis copiez votre score dans le journal ci-dessous pour suivre votre progression dans le temps.</t>
        </is>
      </c>
      <c r="J26" s="169" t="inlineStr">
        <is>
          <t>Comment structurez-vous votre communication avec des interlocuteurs différents ?</t>
        </is>
      </c>
    </row>
    <row r="27" ht="15" customHeight="1" s="164">
      <c r="J27" s="169" t="inlineStr">
        <is>
          <t>Quelle décision professionnelle difficile avez-vous dû prendre récemment ?</t>
        </is>
      </c>
    </row>
    <row r="28" ht="15" customHeight="1" s="164">
      <c r="J28" s="169" t="inlineStr">
        <is>
          <t>Comment testeriez-vous / vérifieriez-vous la qualité de votre propre travail ?</t>
        </is>
      </c>
    </row>
    <row r="29" ht="15" customHeight="1" s="164">
      <c r="B29" s="198" t="inlineStr">
        <is>
          <t>JOURNAL DE PROGRESSION</t>
        </is>
      </c>
      <c r="J29" s="169" t="inlineStr">
        <is>
          <t>Qu'est-ce qu'une non-conformité dans votre domaine, et comment la traiteriez-vous ?</t>
        </is>
      </c>
    </row>
    <row r="30" ht="15" customHeight="1" s="164">
      <c r="J30" s="169" t="inlineStr">
        <is>
          <t>What is your experience working in a team with people from different backgrounds?</t>
        </is>
      </c>
    </row>
    <row r="31" ht="15" customHeight="1" s="164">
      <c r="B31" s="204" t="inlineStr">
        <is>
          <t>Date</t>
        </is>
      </c>
      <c r="C31" s="204" t="inlineStr">
        <is>
          <t>Question n°</t>
        </is>
      </c>
      <c r="D31" s="204" t="inlineStr">
        <is>
          <t>Clarté</t>
        </is>
      </c>
      <c r="E31" s="204" t="inlineStr">
        <is>
          <t>Exemple</t>
        </is>
      </c>
      <c r="F31" s="204" t="inlineStr">
        <is>
          <t>Confiance</t>
        </is>
      </c>
      <c r="G31" s="204" t="inlineStr">
        <is>
          <t>Moyenne</t>
        </is>
      </c>
      <c r="J31" s="163" t="inlineStr">
        <is>
          <t>Pourquoi souhaitez-vous travailler dans ce secteur en particulier ?</t>
        </is>
      </c>
    </row>
    <row r="32" ht="15" customHeight="1" s="164">
      <c r="B32" s="196" t="n"/>
      <c r="C32" s="196" t="n"/>
      <c r="D32" s="196" t="n"/>
      <c r="E32" s="196" t="n"/>
      <c r="G32" s="196">
        <f>IFERROR(IF(D32="","",AVERAGE(D32:F32)),"")</f>
        <v/>
      </c>
    </row>
    <row r="33" ht="15" customHeight="1" s="164">
      <c r="B33" s="196" t="n"/>
      <c r="C33" s="196" t="n"/>
      <c r="D33" s="196" t="n"/>
      <c r="E33" s="196" t="n"/>
      <c r="G33" s="196">
        <f>IFERROR(IF(D33="","",AVERAGE(D33:F33)),"")</f>
        <v/>
      </c>
    </row>
    <row r="34" ht="15" customHeight="1" s="164">
      <c r="B34" s="196" t="n"/>
      <c r="C34" s="196" t="n"/>
      <c r="D34" s="196" t="n"/>
      <c r="E34" s="196" t="n"/>
      <c r="G34" s="196">
        <f>IFERROR(IF(D34="","",AVERAGE(D34:F34)),"")</f>
        <v/>
      </c>
    </row>
    <row r="35" ht="15" customHeight="1" s="164">
      <c r="B35" s="196" t="n"/>
      <c r="C35" s="196" t="n"/>
      <c r="D35" s="196" t="n"/>
      <c r="E35" s="196" t="n"/>
      <c r="G35" s="196">
        <f>IFERROR(IF(D35="","",AVERAGE(D35:F35)),"")</f>
        <v/>
      </c>
    </row>
    <row r="36" ht="15" customHeight="1" s="164">
      <c r="B36" s="196" t="n"/>
      <c r="C36" s="196" t="n"/>
      <c r="D36" s="196" t="n"/>
      <c r="E36" s="196" t="n"/>
      <c r="G36" s="196">
        <f>IFERROR(IF(D36="","",AVERAGE(D36:F36)),"")</f>
        <v/>
      </c>
    </row>
    <row r="37" ht="15" customHeight="1" s="164">
      <c r="B37" s="196" t="n"/>
      <c r="C37" s="196" t="n"/>
      <c r="D37" s="196" t="n"/>
      <c r="E37" s="196" t="n"/>
      <c r="G37" s="196">
        <f>IFERROR(IF(D37="","",AVERAGE(D37:F37)),"")</f>
        <v/>
      </c>
    </row>
    <row r="38" ht="15" customHeight="1" s="164">
      <c r="B38" s="196" t="n"/>
      <c r="C38" s="196" t="n"/>
      <c r="D38" s="196" t="n"/>
      <c r="E38" s="196" t="n"/>
      <c r="G38" s="196">
        <f>IFERROR(IF(D38="","",AVERAGE(D38:F38)),"")</f>
        <v/>
      </c>
    </row>
    <row r="39" ht="15" customHeight="1" s="164">
      <c r="B39" s="196" t="n"/>
      <c r="C39" s="196" t="n"/>
      <c r="D39" s="196" t="n"/>
      <c r="E39" s="196" t="n"/>
      <c r="G39" s="196">
        <f>IFERROR(IF(D39="","",AVERAGE(D39:F39)),"")</f>
        <v/>
      </c>
    </row>
    <row r="40" ht="15" customHeight="1" s="164">
      <c r="B40" s="196" t="n"/>
      <c r="C40" s="196" t="n"/>
      <c r="D40" s="196" t="n"/>
      <c r="E40" s="196" t="n"/>
      <c r="G40" s="196">
        <f>IFERROR(IF(D40="","",AVERAGE(D40:F40)),"")</f>
        <v/>
      </c>
    </row>
    <row r="41" ht="15" customHeight="1" s="164">
      <c r="B41" s="196" t="n"/>
      <c r="C41" s="196" t="n"/>
      <c r="D41" s="196" t="n"/>
      <c r="E41" s="196" t="n"/>
      <c r="G41" s="196">
        <f>IFERROR(IF(D41="","",AVERAGE(D41:F41)),"")</f>
        <v/>
      </c>
    </row>
    <row r="42" ht="15" customHeight="1" s="164">
      <c r="B42" s="196" t="n"/>
      <c r="C42" s="196" t="n"/>
      <c r="D42" s="196" t="n"/>
      <c r="E42" s="196" t="n"/>
      <c r="G42" s="196">
        <f>IFERROR(IF(D42="","",AVERAGE(D42:F42)),"")</f>
        <v/>
      </c>
    </row>
    <row r="43" ht="15" customHeight="1" s="164">
      <c r="B43" s="196" t="n"/>
      <c r="C43" s="196" t="n"/>
      <c r="D43" s="196" t="n"/>
      <c r="E43" s="196" t="n"/>
      <c r="G43" s="196">
        <f>IFERROR(IF(D43="","",AVERAGE(D43:F43)),"")</f>
        <v/>
      </c>
    </row>
    <row r="44" ht="15" customHeight="1" s="164">
      <c r="B44" s="196" t="n"/>
      <c r="C44" s="196" t="n"/>
      <c r="D44" s="196" t="n"/>
      <c r="E44" s="196" t="n"/>
      <c r="G44" s="196">
        <f>IFERROR(IF(D44="","",AVERAGE(D44:F44)),"")</f>
        <v/>
      </c>
    </row>
    <row r="45" ht="15" customHeight="1" s="164">
      <c r="B45" s="196" t="n"/>
      <c r="C45" s="196" t="n"/>
      <c r="D45" s="196" t="n"/>
      <c r="E45" s="196" t="n"/>
      <c r="G45" s="196">
        <f>IFERROR(IF(D45="","",AVERAGE(D45:F45)),"")</f>
        <v/>
      </c>
    </row>
    <row r="46" ht="15" customHeight="1" s="164">
      <c r="B46" s="196" t="n"/>
      <c r="C46" s="196" t="n"/>
      <c r="D46" s="196" t="n"/>
      <c r="E46" s="196" t="n"/>
      <c r="G46" s="196">
        <f>IFERROR(IF(D46="","",AVERAGE(D46:F46)),"")</f>
        <v/>
      </c>
    </row>
    <row r="47" ht="15" customHeight="1" s="164"/>
    <row r="48" ht="15" customHeight="1" s="164"/>
    <row r="49" ht="15" customHeight="1" s="164"/>
    <row r="50" ht="15" customHeight="1" s="164"/>
    <row r="51" ht="15" customHeight="1" s="164"/>
    <row r="52" ht="15" customHeight="1" s="164"/>
    <row r="53" ht="15" customHeight="1" s="164"/>
    <row r="54" ht="15" customHeight="1" s="164"/>
    <row r="55" ht="15" customHeight="1" s="164"/>
    <row r="56" ht="15" customHeight="1" s="164"/>
    <row r="57" ht="15" customHeight="1" s="164"/>
    <row r="58" ht="15" customHeight="1" s="164"/>
    <row r="59" ht="15" customHeight="1" s="164"/>
    <row r="60" ht="15" customHeight="1" s="164"/>
    <row r="61" ht="15" customHeight="1" s="164"/>
    <row r="62" ht="15" customHeight="1" s="164"/>
    <row r="63" ht="15" customHeight="1" s="164"/>
    <row r="64" ht="15" customHeight="1" s="164"/>
    <row r="65" ht="15" customHeight="1" s="164"/>
    <row r="66" ht="15" customHeight="1" s="164"/>
    <row r="67" ht="15" customHeight="1" s="164"/>
    <row r="68" ht="15" customHeight="1" s="164"/>
    <row r="69" ht="15" customHeight="1" s="164"/>
    <row r="70" ht="15" customHeight="1" s="164"/>
    <row r="71" ht="15" customHeight="1" s="164"/>
    <row r="72" ht="15" customHeight="1" s="164"/>
    <row r="73" ht="15" customHeight="1" s="164"/>
    <row r="74" ht="15" customHeight="1" s="164"/>
    <row r="75" ht="15" customHeight="1" s="164"/>
    <row r="76" ht="15" customHeight="1" s="164"/>
    <row r="77" ht="15" customHeight="1" s="164"/>
    <row r="78" ht="15" customHeight="1" s="164"/>
    <row r="79" ht="15" customHeight="1" s="164"/>
    <row r="80" ht="15" customHeight="1" s="164"/>
    <row r="81" ht="15" customHeight="1" s="164"/>
    <row r="82" ht="15" customHeight="1" s="164"/>
    <row r="83" ht="15" customHeight="1" s="164"/>
    <row r="84" ht="15" customHeight="1" s="164"/>
    <row r="85" ht="15" customHeight="1" s="164"/>
    <row r="86" ht="15" customHeight="1" s="164"/>
    <row r="87" ht="15" customHeight="1" s="164"/>
    <row r="88" ht="15" customHeight="1" s="164"/>
    <row r="89" ht="15" customHeight="1" s="164"/>
    <row r="90" ht="15" customHeight="1" s="164"/>
    <row r="91" ht="15" customHeight="1" s="164"/>
    <row r="92" ht="15" customHeight="1" s="164"/>
    <row r="93" ht="15" customHeight="1" s="164"/>
    <row r="94" ht="15" customHeight="1" s="164"/>
    <row r="95" ht="15" customHeight="1" s="164"/>
    <row r="96" ht="15" customHeight="1" s="164"/>
    <row r="97" ht="15" customHeight="1" s="164"/>
    <row r="98" ht="15" customHeight="1" s="164"/>
    <row r="99" ht="15" customHeight="1" s="164"/>
    <row r="100" ht="15" customHeight="1" s="164"/>
    <row r="101" ht="15" customHeight="1" s="164"/>
    <row r="102" ht="15" customHeight="1" s="164"/>
    <row r="103" ht="15" customHeight="1" s="164"/>
    <row r="104" ht="15" customHeight="1" s="164"/>
    <row r="105" ht="15" customHeight="1" s="164"/>
    <row r="106" ht="15" customHeight="1" s="164"/>
    <row r="107" ht="15" customHeight="1" s="164"/>
    <row r="108" ht="15" customHeight="1" s="164"/>
    <row r="109" ht="15" customHeight="1" s="164"/>
    <row r="110" ht="15" customHeight="1" s="164"/>
    <row r="111" ht="15" customHeight="1" s="164"/>
    <row r="112" ht="15" customHeight="1" s="164"/>
    <row r="113" ht="15" customHeight="1" s="164"/>
    <row r="114" ht="15" customHeight="1" s="164"/>
    <row r="115" ht="15" customHeight="1" s="164"/>
    <row r="116" ht="15" customHeight="1" s="164"/>
    <row r="117" ht="15" customHeight="1" s="164"/>
    <row r="118" ht="15" customHeight="1" s="164"/>
    <row r="119" ht="15" customHeight="1" s="164"/>
    <row r="120" ht="15" customHeight="1" s="164"/>
    <row r="121" ht="15" customHeight="1" s="164"/>
    <row r="122" ht="15" customHeight="1" s="164"/>
    <row r="123" ht="15" customHeight="1" s="164"/>
    <row r="124" ht="15" customHeight="1" s="164"/>
    <row r="125" ht="15" customHeight="1" s="164"/>
    <row r="126" ht="15" customHeight="1" s="164"/>
    <row r="127" ht="15" customHeight="1" s="164"/>
    <row r="128" ht="15" customHeight="1" s="164"/>
    <row r="129" ht="15" customHeight="1" s="164"/>
    <row r="130" ht="15" customHeight="1" s="164"/>
    <row r="131" ht="15" customHeight="1" s="164"/>
    <row r="132" ht="15" customHeight="1" s="164"/>
    <row r="133" ht="15" customHeight="1" s="164"/>
    <row r="134" ht="15" customHeight="1" s="164"/>
    <row r="135" ht="15" customHeight="1" s="164"/>
    <row r="136" ht="15" customHeight="1" s="164"/>
    <row r="137" ht="15" customHeight="1" s="164"/>
    <row r="138" ht="15" customHeight="1" s="164"/>
    <row r="139" ht="15" customHeight="1" s="164"/>
    <row r="140" ht="15" customHeight="1" s="164"/>
    <row r="141" ht="15" customHeight="1" s="164"/>
    <row r="142" ht="15" customHeight="1" s="164"/>
    <row r="143" ht="15" customHeight="1" s="164"/>
    <row r="144" ht="15" customHeight="1" s="164"/>
    <row r="145" ht="15" customHeight="1" s="164"/>
    <row r="146" ht="15" customHeight="1" s="164"/>
    <row r="147" ht="15" customHeight="1" s="164"/>
    <row r="148" ht="15" customHeight="1" s="164"/>
    <row r="149" ht="15" customHeight="1" s="164"/>
    <row r="150" ht="15" customHeight="1" s="164"/>
    <row r="151" ht="15" customHeight="1" s="164"/>
    <row r="152" ht="15" customHeight="1" s="164"/>
    <row r="153" ht="15" customHeight="1" s="164"/>
    <row r="154" ht="15" customHeight="1" s="164"/>
    <row r="155" ht="15" customHeight="1" s="164"/>
    <row r="156" ht="15" customHeight="1" s="164"/>
    <row r="157" ht="15" customHeight="1" s="164"/>
    <row r="158" ht="15" customHeight="1" s="164"/>
    <row r="159" ht="15" customHeight="1" s="164"/>
    <row r="160" ht="15" customHeight="1" s="164"/>
    <row r="161" ht="15" customHeight="1" s="164"/>
    <row r="162" ht="15" customHeight="1" s="164"/>
    <row r="163" ht="15" customHeight="1" s="164"/>
    <row r="164" ht="15" customHeight="1" s="164"/>
    <row r="165" ht="15" customHeight="1" s="164"/>
    <row r="166" ht="15" customHeight="1" s="164"/>
    <row r="167" ht="15" customHeight="1" s="164"/>
    <row r="168" ht="15" customHeight="1" s="164"/>
    <row r="169" ht="15" customHeight="1" s="164"/>
    <row r="170" ht="15" customHeight="1" s="164"/>
    <row r="171" ht="15" customHeight="1" s="164"/>
    <row r="172" ht="15" customHeight="1" s="164"/>
    <row r="173" ht="15" customHeight="1" s="164"/>
    <row r="174" ht="15" customHeight="1" s="164"/>
    <row r="175" ht="15" customHeight="1" s="164"/>
    <row r="176" ht="15" customHeight="1" s="164"/>
    <row r="177" ht="15" customHeight="1" s="164"/>
    <row r="178" ht="15" customHeight="1" s="164"/>
    <row r="179" ht="15" customHeight="1" s="164"/>
    <row r="180" ht="15" customHeight="1" s="164"/>
    <row r="181" ht="15" customHeight="1" s="164"/>
    <row r="182" ht="15" customHeight="1" s="164"/>
    <row r="183" ht="15" customHeight="1" s="164"/>
    <row r="184" ht="15" customHeight="1" s="164"/>
    <row r="185" ht="15" customHeight="1" s="164"/>
    <row r="186" ht="15" customHeight="1" s="164"/>
    <row r="187" ht="15" customHeight="1" s="164"/>
    <row r="188" ht="15" customHeight="1" s="164"/>
    <row r="189" ht="15" customHeight="1" s="164"/>
    <row r="190" ht="15" customHeight="1" s="164"/>
    <row r="191" ht="15" customHeight="1" s="164"/>
    <row r="192" ht="15" customHeight="1" s="164"/>
    <row r="193" ht="15" customHeight="1" s="164"/>
    <row r="194" ht="15" customHeight="1" s="164"/>
    <row r="195" ht="15" customHeight="1" s="164"/>
    <row r="196" ht="15" customHeight="1" s="164"/>
    <row r="197" ht="15" customHeight="1" s="164"/>
    <row r="198" ht="15" customHeight="1" s="164"/>
    <row r="199" ht="15" customHeight="1" s="164"/>
    <row r="200" ht="15" customHeight="1" s="164"/>
    <row r="201" ht="15" customHeight="1" s="164"/>
    <row r="202" ht="15" customHeight="1" s="164"/>
    <row r="203" ht="15" customHeight="1" s="164"/>
    <row r="204" ht="15" customHeight="1" s="164"/>
    <row r="205" ht="15" customHeight="1" s="164"/>
    <row r="206" ht="15" customHeight="1" s="164"/>
    <row r="207" ht="15" customHeight="1" s="164"/>
    <row r="208" ht="15" customHeight="1" s="164"/>
    <row r="209" ht="15" customHeight="1" s="164"/>
    <row r="210" ht="15" customHeight="1" s="164"/>
    <row r="211" ht="15" customHeight="1" s="164"/>
    <row r="212" ht="15" customHeight="1" s="164"/>
    <row r="213" ht="15" customHeight="1" s="164"/>
    <row r="214" ht="15" customHeight="1" s="164"/>
    <row r="215" ht="15" customHeight="1" s="164"/>
    <row r="216" ht="15" customHeight="1" s="164"/>
    <row r="217" ht="15" customHeight="1" s="164"/>
    <row r="218" ht="15" customHeight="1" s="164"/>
    <row r="219" ht="15" customHeight="1" s="164"/>
    <row r="220" ht="15" customHeight="1" s="164"/>
    <row r="221" ht="15" customHeight="1" s="164"/>
    <row r="222" ht="15" customHeight="1" s="164"/>
    <row r="223" ht="15" customHeight="1" s="164"/>
    <row r="224" ht="15" customHeight="1" s="164"/>
    <row r="225" ht="15" customHeight="1" s="164"/>
    <row r="226" ht="15" customHeight="1" s="164"/>
    <row r="227" ht="15" customHeight="1" s="164"/>
    <row r="228" ht="15" customHeight="1" s="164"/>
    <row r="229" ht="15" customHeight="1" s="164"/>
    <row r="230" ht="15" customHeight="1" s="164"/>
    <row r="231" ht="15" customHeight="1" s="164"/>
    <row r="232" ht="15" customHeight="1" s="164"/>
    <row r="233" ht="15" customHeight="1" s="164"/>
    <row r="234" ht="15" customHeight="1" s="164"/>
    <row r="235" ht="15" customHeight="1" s="164"/>
    <row r="236" ht="15" customHeight="1" s="164"/>
    <row r="237" ht="15" customHeight="1" s="164"/>
    <row r="238" ht="15" customHeight="1" s="164"/>
    <row r="239" ht="15" customHeight="1" s="164"/>
    <row r="240" ht="15" customHeight="1" s="164"/>
    <row r="241" ht="15" customHeight="1" s="164"/>
    <row r="242" ht="15" customHeight="1" s="164"/>
    <row r="243" ht="15" customHeight="1" s="164"/>
    <row r="244" ht="15" customHeight="1" s="164"/>
    <row r="245" ht="15" customHeight="1" s="164"/>
    <row r="246" ht="1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23">
    <mergeCell ref="B14:H20"/>
    <mergeCell ref="D1:E1"/>
    <mergeCell ref="H1:I1"/>
    <mergeCell ref="J1:K1"/>
    <mergeCell ref="P1:Q1"/>
    <mergeCell ref="B2:H3"/>
    <mergeCell ref="AB1:AC1"/>
    <mergeCell ref="V1:W1"/>
    <mergeCell ref="B23:C23"/>
    <mergeCell ref="B1:C1"/>
    <mergeCell ref="N1:O1"/>
    <mergeCell ref="B22:H22"/>
    <mergeCell ref="T1:U1"/>
    <mergeCell ref="F23:G23"/>
    <mergeCell ref="B9:H11"/>
    <mergeCell ref="L1:M1"/>
    <mergeCell ref="X1:Y1"/>
    <mergeCell ref="Z1:AA1"/>
    <mergeCell ref="B4:H5"/>
    <mergeCell ref="D23:E23"/>
    <mergeCell ref="B26:H27"/>
    <mergeCell ref="F1:G1"/>
    <mergeCell ref="R1:S1"/>
  </mergeCells>
  <dataValidations count="2">
    <dataValidation sqref="D6" showDropDown="0" showInputMessage="0" showErrorMessage="0" allowBlank="1" type="list" errorStyle="stop" operator="between">
      <formula1>"Auto,1,2,3,4,5,6,7,8,9,10,11,12,13,14,15,16,17,18,19,20,21,22,23,24,25"</formula1>
      <formula2>0</formula2>
    </dataValidation>
    <dataValidation sqref="B24 D24 F24" showDropDown="0" showInputMessage="0" showErrorMessage="0" allowBlank="1" type="decimal" errorStyle="stop" operator="between">
      <formula1>1</formula1>
      <formula2>5</formula2>
    </dataValidation>
  </dataValidation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0"/>
  </sheetPr>
  <dimension ref="B1:AC4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107.71" customWidth="1" style="163" min="2" max="2"/>
    <col width="10" customWidth="1" style="163" min="3" max="3"/>
    <col width="39.14" customWidth="1" style="163" min="4" max="4"/>
    <col width="36.29" customWidth="1" style="163" min="5" max="5"/>
    <col width="11" customWidth="1" style="163" min="6" max="6"/>
    <col width="12" customWidth="1" style="163" min="7" max="7"/>
    <col width="0.43" customWidth="1" style="163" min="8" max="8"/>
    <col width="8.710000000000001" customWidth="1" style="163" min="9" max="9"/>
    <col width="7.29" customWidth="1" style="163" min="10" max="10"/>
    <col width="8.710000000000001" customWidth="1" style="163" min="11" max="11"/>
    <col width="7.86" customWidth="1" style="163" min="12" max="12"/>
    <col width="8.710000000000001" customWidth="1" style="163" min="13" max="13"/>
    <col width="9.140000000000001" customWidth="1" style="163" min="14" max="14"/>
    <col width="8.710000000000001" customWidth="1" style="163" min="15" max="15"/>
    <col width="7.57" customWidth="1" style="163" min="16" max="16"/>
    <col width="8.710000000000001" customWidth="1" style="163" min="17" max="17"/>
    <col width="11" customWidth="1" style="163" min="18" max="18"/>
    <col width="8.710000000000001" customWidth="1" style="163" min="19" max="19"/>
    <col width="8.15" customWidth="1" style="163" min="20" max="20"/>
    <col width="8.710000000000001" customWidth="1" style="163" min="21" max="21"/>
    <col width="5.71" customWidth="1" style="163" min="22" max="22"/>
    <col width="8.710000000000001" customWidth="1" style="163" min="23" max="23"/>
    <col width="10.14" customWidth="1" style="163" min="24" max="24"/>
    <col width="8.710000000000001" customWidth="1" style="163" min="25" max="25"/>
    <col width="7.71" customWidth="1" style="163" min="26" max="26"/>
    <col width="8.710000000000001" customWidth="1" style="163" min="27" max="27"/>
    <col width="9.289999999999999" customWidth="1" style="163" min="28" max="28"/>
    <col width="8.710000000000001" customWidth="1" style="163" min="29" max="29"/>
  </cols>
  <sheetData>
    <row r="1" ht="1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5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GÉNÉRATEUR DE LETTRE DE MOTIVATION</t>
        </is>
      </c>
    </row>
    <row r="3" ht="15" customHeight="1" s="164"/>
    <row r="4" ht="15" customHeight="1" s="164">
      <c r="B4" s="287" t="inlineStr">
        <is>
          <t>Plus vous remplissez de champs jaunes avec des détails RÉELS et PRÉCIS, plus la lettre sonnera vous — et non générique. Évitez de l'envoyer telle quelle : relisez-la à voix haute et ajustez le ton.</t>
        </is>
      </c>
    </row>
    <row r="5" ht="15" customHeight="1" s="164"/>
    <row r="6" ht="15" customHeight="1" s="164">
      <c r="B6" s="300" t="inlineStr">
        <is>
          <t>Candidature :</t>
        </is>
      </c>
      <c r="D6" s="301" t="inlineStr">
        <is>
          <t>Sunridge Retail Group</t>
        </is>
      </c>
    </row>
    <row r="7" ht="15" customHeight="1" s="164"/>
    <row r="8" ht="15" customHeight="1" s="164">
      <c r="B8" s="300" t="inlineStr">
        <is>
          <t>Ton souhaité :</t>
        </is>
      </c>
      <c r="D8" s="301" t="inlineStr">
        <is>
          <t>Professionnel</t>
        </is>
      </c>
    </row>
    <row r="9" ht="15" customHeight="1" s="164"/>
    <row r="10" ht="15" customHeight="1" s="164">
      <c r="B10" s="300" t="inlineStr">
        <is>
          <t>Vos 2-3 points forts à mentionner :</t>
        </is>
      </c>
      <c r="D10" s="302" t="inlineStr">
        <is>
          <t>rigueur, esprit d'équipe, sens du détail</t>
        </is>
      </c>
    </row>
    <row r="11" ht="15" customHeight="1" s="164">
      <c r="B11" s="303" t="inlineStr">
        <is>
          <t>Une réussite concrète et CHIFFRÉE (ex: "réduit les non-conformités de 18% en 6 mois") :</t>
        </is>
      </c>
      <c r="D11" s="302" t="inlineStr">
        <is>
          <t>amélioré un indicateur clé de 15% en 3 mois</t>
        </is>
      </c>
    </row>
    <row r="12" ht="15" customHeight="1" s="164">
      <c r="B12" s="303" t="inlineStr">
        <is>
          <t>Pourquoi CETTE entreprise précisément (pas une phrase générique) :</t>
        </is>
      </c>
      <c r="D12" s="302" t="inlineStr">
        <is>
          <t>votre positionnement sur ce secteur m'intéresse particulièrement</t>
        </is>
      </c>
    </row>
    <row r="13" ht="15" customHeight="1" s="164">
      <c r="B13" s="303" t="inlineStr">
        <is>
          <t>Comment vous avez découvert cette offre :</t>
        </is>
      </c>
      <c r="D13" s="301" t="inlineStr">
        <is>
          <t>LinkedIn</t>
        </is>
      </c>
    </row>
    <row r="14" ht="15" customHeight="1" s="164">
      <c r="B14" s="303" t="inlineStr">
        <is>
          <t>Variante de structure (pour ne pas répéter la même lettre à chaque fois) :</t>
        </is>
      </c>
      <c r="D14" s="301" t="n">
        <v>1</v>
      </c>
      <c r="E14" s="264" t="inlineStr">
        <is>
          <t>(1, 2 ou 3 — chacune a une structure de phrases différente)</t>
        </is>
      </c>
    </row>
    <row r="15" ht="15" customHeight="1" s="164"/>
    <row r="16" ht="15" customHeight="1" s="164">
      <c r="B16" s="169" t="inlineStr">
        <is>
          <t>Poste (auto)</t>
        </is>
      </c>
      <c r="D16" s="169">
        <f t="array" ref="D16:D16">IFERROR(INDEX(Applications!$D$6:$D$200,MATCH($D$6,Applications!$C$6:$C$200,0)),"")</f>
        <v/>
      </c>
      <c r="J16" s="169">
        <f t="array" ref="J16:J16">IFERROR(INDEX(Applications!$D$6:$D$200,MATCH($D$6,Applications!$C$6:$C$200,0)),"")</f>
        <v/>
      </c>
    </row>
    <row r="17" ht="15" customHeight="1" s="164">
      <c r="B17" s="169" t="inlineStr">
        <is>
          <t>Ville (auto)</t>
        </is>
      </c>
      <c r="D17" s="169">
        <f t="array" ref="D17:D17">IFERROR(INDEX(Applications!$E$6:$E$200,MATCH($D$6,Applications!$C$6:$C$200,0)),"")</f>
        <v/>
      </c>
      <c r="J17" s="169">
        <f t="array" ref="J17:J17">IFERROR(INDEX(Applications!$E$6:$E$200,MATCH($D$6,Applications!$C$6:$C$200,0)),"")</f>
        <v/>
      </c>
    </row>
    <row r="18" ht="15" customHeight="1" s="164">
      <c r="B18" s="304" t="n"/>
    </row>
    <row r="19" ht="15" customHeight="1" s="164">
      <c r="B19" s="198" t="inlineStr">
        <is>
          <t>BROUILLON GÉNÉRÉ :</t>
        </is>
      </c>
    </row>
    <row r="20" ht="124.5" customHeight="1" s="164">
      <c r="B20" s="305">
        <f>IF($D$14=1,"Madame, Monsieur," &amp; CHAR(10) &amp; CHAR(10) &amp; "Je vous écris au sujet du poste de " &amp; $J$16 &amp; " chez " &amp; $D$6 &amp; ", que j'ai découvert via " &amp; $D$13 &amp; ". " &amp; (UPPER(LEFT($D$12,1))&amp;MID($D$12,2,LEN($D$12))) &amp; "." &amp; CHAR(10) &amp; CHAR(10) &amp; "Pour vous donner un exemple concret : j'ai récemment " &amp; $D$11 &amp; ". C'est ce type de résultat que je cherche à reproduire dans un poste comme celui-ci, où " &amp; $D$10 &amp; " seront des atouts au quotidien." &amp; CHAR(10) &amp; CHAR(10) &amp; "Je serais ravi(e) d'en discuter avec vous." &amp; CHAR(10) &amp; CHAR(10) &amp; "Cordialement,",IF($D$14=2,"Bonjour," &amp; CHAR(10) &amp; CHAR(10) &amp; (UPPER(LEFT($D$12,1))&amp;MID($D$12,2,LEN($D$12))) &amp; ". C'est cette raison précise qui m'a poussé(e) à candidater pour le poste de " &amp; $J$16 &amp; " chez " &amp; $D$6 &amp; " (offre trouvée via " &amp; $D$13 &amp; ")." &amp; CHAR(10) &amp; CHAR(10) &amp; "À titre d'illustration, j'ai " &amp; $D$11 &amp; " — un résultat dont je suis fier/fière et que j'aimerais mettre au service de votre équipe, avec " &amp; $D$10 &amp; " comme atouts." &amp; CHAR(10) &amp; CHAR(10) &amp; "Au plaisir d'échanger avec vous,","Bonjour," &amp; CHAR(10) &amp; CHAR(10) &amp; "Candidat(e) au poste de " &amp; $J$16 &amp; " chez " &amp; $D$6 &amp; " (offre trouvée via " &amp; $D$13 &amp; "), je vous partage directement ce qui, je crois, fera la différence : j'ai " &amp; $D$11 &amp; "." &amp; CHAR(10) &amp; CHAR(10) &amp; (UPPER(LEFT($D$12,1))&amp;MID($D$12,2,LEN($D$12))) &amp; ", et je pense que " &amp; $D$10 &amp; " complèteraient bien votre équipe." &amp; CHAR(10) &amp; CHAR(10) &amp; "Disponible pour en discuter quand vous le souhaitez,"))</f>
        <v/>
      </c>
    </row>
    <row r="21" ht="15.75" customHeight="1" s="164"/>
    <row r="22" ht="15.75" customHeight="1" s="164"/>
    <row r="23" ht="15.75" customHeight="1" s="164"/>
    <row r="24" ht="15.75" customHeight="1" s="164"/>
    <row r="25" ht="15.75" customHeight="1" s="164"/>
    <row r="26" ht="15.75" customHeight="1" s="164"/>
    <row r="27" ht="15.75" customHeight="1" s="164"/>
    <row r="28" ht="15.75" customHeight="1" s="164"/>
    <row r="29" ht="15.75" customHeight="1" s="164"/>
    <row r="30" ht="15.75" customHeight="1" s="164"/>
    <row r="31" ht="15.75" customHeight="1" s="164"/>
    <row r="32" ht="15.75" customHeight="1" s="164"/>
    <row r="33" ht="15.75" customHeight="1" s="164"/>
    <row r="34" ht="15" customHeight="1" s="164">
      <c r="B34" s="163" t="n"/>
    </row>
    <row r="35" ht="15" customHeight="1" s="164"/>
    <row r="36" ht="15" customHeight="1" s="164">
      <c r="B36" s="299" t="inlineStr">
        <is>
          <t>Pour que ça sonne 100% vous, pas 'IA' : (1) remplacez les exemples ci-dessus par VOS vrais chiffres, (2) variez le numéro de structure à chaque lettre, (3) relisez à voix haute et coupez toute phrase que vous ne diriez jamais à l'oral, (4) ajoutez si possible un détail que seul vous connaissez sur l'entreprise.</t>
        </is>
      </c>
    </row>
    <row r="37" ht="15" customHeight="1" s="164"/>
    <row r="38" ht="15" customHeight="1" s="164"/>
    <row r="39" ht="15" customHeight="1" s="164">
      <c r="B39" s="198" t="inlineStr">
        <is>
          <t>VERIFICATION AVANT ENVOI</t>
        </is>
      </c>
    </row>
    <row r="40" ht="15" customHeight="1" s="164"/>
    <row r="41" ht="15" customHeight="1" s="164">
      <c r="D41" s="204" t="inlineStr">
        <is>
          <t>Statut</t>
        </is>
      </c>
      <c r="E41" s="211" t="inlineStr">
        <is>
          <t>Element a verifier</t>
        </is>
      </c>
    </row>
    <row r="42" ht="15" customHeight="1" s="164">
      <c r="D42" s="306" t="inlineStr">
        <is>
          <t>Non</t>
        </is>
      </c>
      <c r="E42" s="195" t="inlineStr">
        <is>
          <t>Le nom de l'entreprise et le nom de la personne sont corrects et bien orthographies</t>
        </is>
      </c>
    </row>
    <row r="43" ht="15" customHeight="1" s="164">
      <c r="D43" s="306" t="inlineStr">
        <is>
          <t>Non</t>
        </is>
      </c>
      <c r="E43" s="195" t="inlineStr">
        <is>
          <t>Les chiffres et exemples sont vos vrais chiffres, pas les exemples par defaut</t>
        </is>
      </c>
    </row>
    <row r="44" ht="15" customHeight="1" s="164">
      <c r="D44" s="306" t="inlineStr">
        <is>
          <t>Non</t>
        </is>
      </c>
      <c r="E44" s="195" t="inlineStr">
        <is>
          <t>La lettre a ete relue a voix haute au moins une fois</t>
        </is>
      </c>
    </row>
    <row r="45" ht="15" customHeight="1" s="164">
      <c r="D45" s="306" t="inlineStr">
        <is>
          <t>Non</t>
        </is>
      </c>
      <c r="E45" s="195" t="inlineStr">
        <is>
          <t>Aucune phrase ne ressemble a un modele generique</t>
        </is>
      </c>
    </row>
    <row r="46" ht="15" customHeight="1" s="164">
      <c r="D46" s="306" t="inlineStr">
        <is>
          <t>Non</t>
        </is>
      </c>
      <c r="E46" s="195" t="inlineStr">
        <is>
          <t>Le CV joint correspond bien a cette offre precise</t>
        </is>
      </c>
    </row>
    <row r="47" ht="15" customHeight="1" s="164">
      <c r="D47" s="306" t="inlineStr">
        <is>
          <t>Non</t>
        </is>
      </c>
      <c r="E47" s="195" t="inlineStr">
        <is>
          <t>L'objet de l'e-mail est clair et mentionne le poste</t>
        </is>
      </c>
    </row>
    <row r="48" ht="15" customHeight="1" s="164"/>
    <row r="49" ht="15" customHeight="1" s="164">
      <c r="B49" s="238" t="inlineStr">
        <is>
          <t>Pret a envoyer :</t>
        </is>
      </c>
      <c r="D49" s="307">
        <f>IF(COUNTIF(D42:D48,"Oui")=COUNTA(D42:D48),"Oui","Pas encore")</f>
        <v/>
      </c>
    </row>
    <row r="50" ht="15" customHeight="1" s="164"/>
    <row r="51" ht="15" customHeight="1" s="164"/>
    <row r="52" ht="15" customHeight="1" s="164"/>
    <row r="53" ht="15" customHeight="1" s="164"/>
    <row r="54" ht="15" customHeight="1" s="164"/>
    <row r="55" ht="15" customHeight="1" s="164"/>
    <row r="56" ht="15" customHeight="1" s="164"/>
    <row r="57" ht="15" customHeight="1" s="164"/>
    <row r="58" ht="15" customHeight="1" s="164"/>
    <row r="59" ht="15" customHeight="1" s="164"/>
    <row r="60" ht="15" customHeight="1" s="164"/>
    <row r="61" ht="15" customHeight="1" s="164"/>
    <row r="62" ht="15" customHeight="1" s="164"/>
    <row r="63" ht="15" customHeight="1" s="164"/>
    <row r="64" ht="15" customHeight="1" s="164"/>
    <row r="65" ht="15" customHeight="1" s="164"/>
    <row r="66" ht="15" customHeight="1" s="164"/>
    <row r="67" ht="15" customHeight="1" s="164"/>
    <row r="68" ht="15" customHeight="1" s="164"/>
    <row r="69" ht="15" customHeight="1" s="164"/>
    <row r="70" ht="15" customHeight="1" s="164"/>
    <row r="71" ht="15" customHeight="1" s="164"/>
    <row r="72" ht="15" customHeight="1" s="164"/>
    <row r="73" ht="15" customHeight="1" s="164"/>
    <row r="74" ht="15" customHeight="1" s="164"/>
    <row r="75" ht="15" customHeight="1" s="164"/>
    <row r="76" ht="15" customHeight="1" s="164"/>
    <row r="77" ht="15" customHeight="1" s="164"/>
    <row r="78" ht="15" customHeight="1" s="164"/>
    <row r="79" ht="15" customHeight="1" s="164"/>
    <row r="80" ht="15" customHeight="1" s="164"/>
    <row r="81" ht="15" customHeight="1" s="164"/>
    <row r="82" ht="15" customHeight="1" s="164"/>
    <row r="83" ht="15" customHeight="1" s="164"/>
    <row r="84" ht="15" customHeight="1" s="164"/>
    <row r="85" ht="15" customHeight="1" s="164"/>
    <row r="86" ht="15" customHeight="1" s="164"/>
    <row r="87" ht="15" customHeight="1" s="164"/>
    <row r="88" ht="15" customHeight="1" s="164"/>
    <row r="89" ht="15" customHeight="1" s="164"/>
    <row r="90" ht="15" customHeight="1" s="164"/>
    <row r="91" ht="15" customHeight="1" s="164"/>
    <row r="92" ht="15" customHeight="1" s="164"/>
    <row r="93" ht="15" customHeight="1" s="164"/>
    <row r="94" ht="15" customHeight="1" s="164"/>
    <row r="95" ht="15" customHeight="1" s="164"/>
    <row r="96" ht="15" customHeight="1" s="164"/>
    <row r="97" ht="15" customHeight="1" s="164"/>
    <row r="98" ht="15" customHeight="1" s="164"/>
    <row r="99" ht="15" customHeight="1" s="164"/>
    <row r="100" ht="15" customHeight="1" s="164"/>
    <row r="101" ht="15" customHeight="1" s="164"/>
    <row r="102" ht="15" customHeight="1" s="164"/>
    <row r="103" ht="15" customHeight="1" s="164"/>
    <row r="104" ht="15" customHeight="1" s="164"/>
    <row r="105" ht="15" customHeight="1" s="164"/>
    <row r="106" ht="15" customHeight="1" s="164"/>
    <row r="107" ht="15" customHeight="1" s="164"/>
    <row r="108" ht="15" customHeight="1" s="164"/>
    <row r="109" ht="15" customHeight="1" s="164"/>
    <row r="110" ht="15" customHeight="1" s="164"/>
    <row r="111" ht="15" customHeight="1" s="164"/>
    <row r="112" ht="15" customHeight="1" s="164"/>
    <row r="113" ht="15" customHeight="1" s="164"/>
    <row r="114" ht="15" customHeight="1" s="164"/>
    <row r="115" ht="15" customHeight="1" s="164"/>
    <row r="116" ht="15" customHeight="1" s="164"/>
    <row r="117" ht="15" customHeight="1" s="164"/>
    <row r="118" ht="15" customHeight="1" s="164"/>
    <row r="119" ht="15" customHeight="1" s="164"/>
    <row r="120" ht="15" customHeight="1" s="164"/>
    <row r="121" ht="15" customHeight="1" s="164"/>
    <row r="122" ht="15" customHeight="1" s="164"/>
    <row r="123" ht="15" customHeight="1" s="164"/>
    <row r="124" ht="15" customHeight="1" s="164"/>
    <row r="125" ht="15" customHeight="1" s="164"/>
    <row r="126" ht="15" customHeight="1" s="164"/>
    <row r="127" ht="15" customHeight="1" s="164"/>
    <row r="128" ht="15" customHeight="1" s="164"/>
    <row r="129" ht="15" customHeight="1" s="164"/>
    <row r="130" ht="15" customHeight="1" s="164"/>
    <row r="131" ht="15" customHeight="1" s="164"/>
    <row r="132" ht="15" customHeight="1" s="164"/>
    <row r="133" ht="15" customHeight="1" s="164"/>
    <row r="134" ht="15" customHeight="1" s="164"/>
    <row r="135" ht="15" customHeight="1" s="164"/>
    <row r="136" ht="15" customHeight="1" s="164"/>
    <row r="137" ht="15" customHeight="1" s="164"/>
    <row r="138" ht="15" customHeight="1" s="164"/>
    <row r="139" ht="15" customHeight="1" s="164"/>
    <row r="140" ht="15" customHeight="1" s="164"/>
    <row r="141" ht="15" customHeight="1" s="164"/>
    <row r="142" ht="15" customHeight="1" s="164"/>
    <row r="143" ht="15" customHeight="1" s="164"/>
    <row r="144" ht="15" customHeight="1" s="164"/>
    <row r="145" ht="15" customHeight="1" s="164"/>
    <row r="146" ht="15" customHeight="1" s="164"/>
    <row r="147" ht="15" customHeight="1" s="164"/>
    <row r="148" ht="15" customHeight="1" s="164"/>
    <row r="149" ht="15" customHeight="1" s="164"/>
    <row r="150" ht="15" customHeight="1" s="164"/>
    <row r="151" ht="15" customHeight="1" s="164"/>
    <row r="152" ht="15" customHeight="1" s="164"/>
    <row r="153" ht="15" customHeight="1" s="164"/>
    <row r="154" ht="15" customHeight="1" s="164"/>
    <row r="155" ht="15" customHeight="1" s="164"/>
    <row r="156" ht="15" customHeight="1" s="164"/>
    <row r="157" ht="15" customHeight="1" s="164"/>
    <row r="158" ht="15" customHeight="1" s="164"/>
    <row r="159" ht="15" customHeight="1" s="164"/>
    <row r="160" ht="15" customHeight="1" s="164"/>
    <row r="161" ht="15" customHeight="1" s="164"/>
    <row r="162" ht="15" customHeight="1" s="164"/>
    <row r="163" ht="15" customHeight="1" s="164"/>
    <row r="164" ht="15" customHeight="1" s="164"/>
    <row r="165" ht="15" customHeight="1" s="164"/>
    <row r="166" ht="15" customHeight="1" s="164"/>
    <row r="167" ht="15" customHeight="1" s="164"/>
    <row r="168" ht="15" customHeight="1" s="164"/>
    <row r="169" ht="15" customHeight="1" s="164"/>
    <row r="170" ht="15" customHeight="1" s="164"/>
    <row r="171" ht="15" customHeight="1" s="164"/>
    <row r="172" ht="15" customHeight="1" s="164"/>
    <row r="173" ht="15" customHeight="1" s="164"/>
    <row r="174" ht="15" customHeight="1" s="164"/>
    <row r="175" ht="15" customHeight="1" s="164"/>
    <row r="176" ht="15" customHeight="1" s="164"/>
    <row r="177" ht="15" customHeight="1" s="164"/>
    <row r="178" ht="15" customHeight="1" s="164"/>
    <row r="179" ht="15" customHeight="1" s="164"/>
    <row r="180" ht="15" customHeight="1" s="164"/>
    <row r="181" ht="15" customHeight="1" s="164"/>
    <row r="182" ht="15" customHeight="1" s="164"/>
    <row r="183" ht="15" customHeight="1" s="164"/>
    <row r="184" ht="15" customHeight="1" s="164"/>
    <row r="185" ht="15" customHeight="1" s="164"/>
    <row r="186" ht="15" customHeight="1" s="164"/>
    <row r="187" ht="15" customHeight="1" s="164"/>
    <row r="188" ht="15" customHeight="1" s="164"/>
    <row r="189" ht="15" customHeight="1" s="164"/>
    <row r="190" ht="15" customHeight="1" s="164"/>
    <row r="191" ht="15" customHeight="1" s="164"/>
    <row r="192" ht="15" customHeight="1" s="164"/>
    <row r="193" ht="15" customHeight="1" s="164"/>
    <row r="194" ht="15" customHeight="1" s="164"/>
    <row r="195" ht="15" customHeight="1" s="164"/>
    <row r="196" ht="15" customHeight="1" s="164"/>
    <row r="197" ht="15" customHeight="1" s="164"/>
    <row r="198" ht="15" customHeight="1" s="164"/>
    <row r="199" ht="15" customHeight="1" s="164"/>
    <row r="200" ht="15" customHeight="1" s="164"/>
    <row r="201" ht="15" customHeight="1" s="164"/>
    <row r="202" ht="15" customHeight="1" s="164"/>
    <row r="203" ht="15" customHeight="1" s="164"/>
    <row r="204" ht="15" customHeight="1" s="164"/>
    <row r="205" ht="15" customHeight="1" s="164"/>
    <row r="206" ht="15" customHeight="1" s="164"/>
    <row r="207" ht="15" customHeight="1" s="164"/>
    <row r="208" ht="15" customHeight="1" s="164"/>
    <row r="209" ht="15" customHeight="1" s="164"/>
    <row r="210" ht="15" customHeight="1" s="164"/>
    <row r="211" ht="15" customHeight="1" s="164"/>
    <row r="212" ht="15" customHeight="1" s="164"/>
    <row r="213" ht="15" customHeight="1" s="164"/>
    <row r="214" ht="15" customHeight="1" s="164"/>
    <row r="215" ht="15" customHeight="1" s="164"/>
    <row r="216" ht="15" customHeight="1" s="164"/>
    <row r="217" ht="15" customHeight="1" s="164"/>
    <row r="218" ht="15" customHeight="1" s="164"/>
    <row r="219" ht="15" customHeight="1" s="164"/>
    <row r="220" ht="15" customHeight="1" s="164"/>
    <row r="221" ht="15" customHeight="1" s="164"/>
    <row r="222" ht="15" customHeight="1" s="164"/>
    <row r="223" ht="15" customHeight="1" s="164"/>
    <row r="224" ht="15" customHeight="1" s="164"/>
    <row r="225" ht="15" customHeight="1" s="164"/>
    <row r="226" ht="15" customHeight="1" s="164"/>
    <row r="227" ht="15" customHeight="1" s="164"/>
    <row r="228" ht="15" customHeight="1" s="164"/>
    <row r="229" ht="15" customHeight="1" s="164"/>
    <row r="230" ht="15" customHeight="1" s="164"/>
    <row r="231" ht="15" customHeight="1" s="164"/>
    <row r="232" ht="15" customHeight="1" s="164"/>
    <row r="233" ht="15" customHeight="1" s="164"/>
    <row r="234" ht="15" customHeight="1" s="164"/>
    <row r="235" ht="15" customHeight="1" s="164"/>
    <row r="236" ht="15" customHeight="1" s="164"/>
    <row r="237" ht="15" customHeight="1" s="164"/>
    <row r="238" ht="15" customHeight="1" s="164"/>
    <row r="239" ht="15" customHeight="1" s="164"/>
    <row r="240" ht="15" customHeight="1" s="164"/>
    <row r="241" ht="15" customHeight="1" s="164"/>
    <row r="242" ht="15" customHeight="1" s="164"/>
    <row r="243" ht="15" customHeight="1" s="164"/>
    <row r="244" ht="15" customHeight="1" s="164"/>
    <row r="245" ht="15" customHeight="1" s="164"/>
    <row r="246" ht="15" customHeight="1" s="164"/>
    <row r="247" ht="15" customHeight="1" s="164"/>
    <row r="248" ht="15" customHeight="1" s="164"/>
    <row r="249" ht="1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36">
    <mergeCell ref="D1:E1"/>
    <mergeCell ref="H1:I1"/>
    <mergeCell ref="J1:K1"/>
    <mergeCell ref="P1:Q1"/>
    <mergeCell ref="F1:G1"/>
    <mergeCell ref="B2:H3"/>
    <mergeCell ref="B12:C12"/>
    <mergeCell ref="E46:J46"/>
    <mergeCell ref="AB1:AC1"/>
    <mergeCell ref="B11:C11"/>
    <mergeCell ref="V1:W1"/>
    <mergeCell ref="E45:J45"/>
    <mergeCell ref="D11:H11"/>
    <mergeCell ref="B14:C14"/>
    <mergeCell ref="D8:F8"/>
    <mergeCell ref="B8:C8"/>
    <mergeCell ref="N1:O1"/>
    <mergeCell ref="B1:C1"/>
    <mergeCell ref="B13:C13"/>
    <mergeCell ref="B36:H37"/>
    <mergeCell ref="T1:U1"/>
    <mergeCell ref="B10:C10"/>
    <mergeCell ref="L1:M1"/>
    <mergeCell ref="E47:J47"/>
    <mergeCell ref="E43:J43"/>
    <mergeCell ref="B6:C6"/>
    <mergeCell ref="D12:H12"/>
    <mergeCell ref="E42:J42"/>
    <mergeCell ref="X1:Y1"/>
    <mergeCell ref="Z1:AA1"/>
    <mergeCell ref="B4:H5"/>
    <mergeCell ref="B34:H34"/>
    <mergeCell ref="D6:F6"/>
    <mergeCell ref="B19:H19"/>
    <mergeCell ref="E44:J44"/>
    <mergeCell ref="R1:S1"/>
  </mergeCells>
  <conditionalFormatting sqref="D42:J47">
    <cfRule type="expression" rank="0" priority="2" equalAverage="0" aboveAverage="0" dxfId="0" text="" percent="0" bottom="0">
      <formula>$D42="Oui"</formula>
    </cfRule>
  </conditionalFormatting>
  <dataValidations count="6">
    <dataValidation sqref="D14" showDropDown="0" showInputMessage="0" showErrorMessage="0" allowBlank="1" type="decimal" errorStyle="stop" operator="between">
      <formula1>1</formula1>
      <formula2>3</formula2>
    </dataValidation>
    <dataValidation sqref="D42:D47" showDropDown="0" showInputMessage="0" showErrorMessage="0" allowBlank="1" type="list" errorStyle="stop" operator="between">
      <formula1>"Non,Oui"</formula1>
      <formula2>0</formula2>
    </dataValidation>
    <dataValidation sqref="D6" showDropDown="0" showInputMessage="0" showErrorMessage="0" allowBlank="1" type="list" errorStyle="stop" operator="between">
      <formula1>Applications!$C$6:$C$200</formula1>
      <formula2>0</formula2>
    </dataValidation>
    <dataValidation sqref="D8" showDropDown="0" showInputMessage="0" showErrorMessage="0" allowBlank="1" type="list" errorStyle="stop" operator="between">
      <formula1>"Professionnel,Dynamique,Direct"</formula1>
      <formula2>0</formula2>
    </dataValidation>
    <dataValidation sqref="D13" showDropDown="0" showInputMessage="0" showErrorMessage="0" allowBlank="1" type="list" errorStyle="stop" operator="between">
      <formula1>"LinkedIn,Site carrière,Recommandation,Salon/évènement,Autre"</formula1>
      <formula2>0</formula2>
    </dataValidation>
    <dataValidation sqref="D11" showDropDown="0" showInputMessage="0" showErrorMessage="0" allowBlank="1" type="list" errorStyle="stop" operator="between">
      <formula1>'Banque Reussites'!$C$8:$C$19</formula1>
      <formula2>0</formula2>
    </dataValidation>
  </dataValidation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0"/>
  </sheetPr>
  <dimension ref="B1:AC2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14" customWidth="1" style="163" min="2" max="2"/>
    <col width="10" customWidth="1" style="163" min="3" max="3"/>
    <col width="14" customWidth="1" style="163" min="4" max="4"/>
    <col width="26" customWidth="1" style="163" min="5" max="5"/>
    <col width="8.710000000000001" customWidth="1" style="163" min="6" max="29"/>
  </cols>
  <sheetData>
    <row r="1" ht="19.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5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SIMULATEUR DE NÉGOCIATION SALARIALE</t>
        </is>
      </c>
    </row>
    <row r="3" ht="15" customHeight="1" s="164"/>
    <row r="4" ht="15" customHeight="1" s="164">
      <c r="B4" s="258" t="inlineStr">
        <is>
          <t>Des scénarios courants et des réponses prêtes à l'emploi, à adapter à votre situation.</t>
        </is>
      </c>
    </row>
    <row r="5" ht="15" customHeight="1" s="164"/>
    <row r="6" ht="15" customHeight="1" s="164">
      <c r="B6" s="163" t="inlineStr">
        <is>
          <t>Offre reçue (monnaie locale / mois) :</t>
        </is>
      </c>
      <c r="D6" s="308" t="n">
        <v>3200</v>
      </c>
    </row>
    <row r="7" ht="15" customHeight="1" s="164">
      <c r="B7" s="163" t="inlineStr">
        <is>
          <t>Votre cible réaliste (monnaie locale / mois) :</t>
        </is>
      </c>
      <c r="D7" s="308" t="n">
        <v>3600</v>
      </c>
    </row>
    <row r="8" ht="15" customHeight="1" s="164">
      <c r="B8" s="163" t="inlineStr">
        <is>
          <t>Écart à négocier</t>
        </is>
      </c>
      <c r="D8" s="309">
        <f>D7-D6</f>
        <v/>
      </c>
      <c r="E8" s="285">
        <f>TEXT(D8/D6,"0%")&amp;" au-dessus de l'offre"</f>
        <v/>
      </c>
    </row>
    <row r="9" ht="15" customHeight="1" s="164"/>
    <row r="10" ht="15" customHeight="1" s="164">
      <c r="B10" s="198" t="inlineStr">
        <is>
          <t>SITUATION</t>
        </is>
      </c>
    </row>
    <row r="11" ht="15" customHeight="1" s="164"/>
    <row r="12" ht="15" customHeight="1" s="164">
      <c r="B12" s="209" t="inlineStr">
        <is>
          <t>L'offre est en dessous de vos attentes</t>
        </is>
      </c>
    </row>
    <row r="13" ht="45" customHeight="1" s="164">
      <c r="B13" s="246" t="inlineStr">
        <is>
          <t>Merci beaucoup pour cette offre, je suis très enthousiaste à l'idée de rejoindre l'équipe. Sur la base de mon expérience et des standards du marché pour ce type de poste, j'espérais un niveau plus proche de [VOTRE CIBLE] par mois. Y a-t-il une marge de manœuvre possible ?</t>
        </is>
      </c>
    </row>
    <row r="14" ht="15" customHeight="1" s="164"/>
    <row r="15" ht="15" customHeight="1" s="164">
      <c r="B15" s="209" t="inlineStr">
        <is>
          <t>On vous demande votre prétention salariale en premier</t>
        </is>
      </c>
    </row>
    <row r="16" ht="45" customHeight="1" s="164">
      <c r="B16" s="246" t="inlineStr">
        <is>
          <t>Je suis avant tout intéressé(e) par le poste et l'équipe. Pouvez-vous me partager la fourchette prévue pour ce rôle ? Cela m'aiderait à vous donner une réponse pertinente.</t>
        </is>
      </c>
    </row>
    <row r="17" ht="15" customHeight="1" s="164"/>
    <row r="18" ht="15" customHeight="1" s="164">
      <c r="B18" s="209" t="inlineStr">
        <is>
          <t>Ils disent que le budget est fixe, non négociable</t>
        </is>
      </c>
    </row>
    <row r="19" ht="45" customHeight="1" s="164">
      <c r="B19" s="246" t="inlineStr">
        <is>
          <t>Je comprends la contrainte budgétaire. Serait-il possible d'envisager d'autres leviers : télétravail, jours de congés supplémentaires, budget formation, ou une clause de révision à 6 mois ?</t>
        </is>
      </c>
    </row>
    <row r="20" ht="15" customHeight="1" s="164"/>
    <row r="21" ht="15" customHeight="1" s="164">
      <c r="B21" s="209" t="inlineStr">
        <is>
          <t>Vous avez une autre offre en parallèle</t>
        </is>
      </c>
    </row>
    <row r="22" ht="45" customHeight="1" s="164">
      <c r="B22" s="246" t="inlineStr">
        <is>
          <t>Je dois vous dire en toute transparence que j'ai une autre proposition en cours. Votre poste reste mon premier choix — y a-t-il une possibilité de vous aligner sur [MONTANT] par mois ?</t>
        </is>
      </c>
    </row>
    <row r="23" ht="15.75" customHeight="1" s="164"/>
    <row r="24" ht="15" customHeight="1" s="164">
      <c r="B24" s="209" t="inlineStr">
        <is>
          <t>On vous fait une offre à prendre ou à laisser</t>
        </is>
      </c>
    </row>
    <row r="25" ht="45" customHeight="1" s="164">
      <c r="B25" s="246" t="inlineStr">
        <is>
          <t>Je comprends votre position. Puis-je prendre 24 à 48h pour vous donner une réponse réfléchie ?</t>
        </is>
      </c>
    </row>
    <row r="26" ht="15.75" customHeight="1" s="164"/>
    <row r="27" ht="15.75" customHeight="1" s="164"/>
    <row r="28" ht="15" customHeight="1" s="164">
      <c r="B28" s="264" t="inlineStr">
        <is>
          <t>Règle d'or : ne donnez jamais le premier chiffre si vous pouvez l'éviter, et négociez toujours à l'oral/en visio plutôt que par écrit.</t>
        </is>
      </c>
    </row>
    <row r="29" ht="15" customHeight="1" s="164"/>
    <row r="30" ht="15.75" customHeight="1" s="164"/>
    <row r="31" ht="15.75" customHeight="1" s="164"/>
    <row r="32" ht="15.75" customHeight="1" s="164"/>
    <row r="33" ht="15.75" customHeight="1" s="164"/>
    <row r="34" ht="15.75" customHeight="1" s="164"/>
    <row r="35" ht="15.75" customHeight="1" s="164"/>
    <row r="36" ht="15.75" customHeight="1" s="164"/>
    <row r="37" ht="15.75" customHeight="1" s="164"/>
    <row r="38" ht="15.75" customHeight="1" s="164"/>
    <row r="39" ht="15.75" customHeight="1" s="164"/>
    <row r="40" ht="15.75" customHeight="1" s="164"/>
    <row r="41" ht="15.75" customHeight="1" s="164"/>
    <row r="42" ht="15.75" customHeight="1" s="164"/>
    <row r="43" ht="15.75" customHeight="1" s="164"/>
    <row r="44" ht="15.75" customHeight="1" s="164"/>
    <row r="45" ht="15.75" customHeight="1" s="164"/>
    <row r="46" ht="15.75" customHeight="1" s="164"/>
    <row r="47" ht="15.75" customHeight="1" s="164"/>
    <row r="48" ht="15.75" customHeight="1" s="164"/>
    <row r="49" ht="15.75" customHeight="1" s="164"/>
    <row r="50" ht="15.75" customHeight="1" s="164"/>
    <row r="51" ht="15.75" customHeight="1" s="164"/>
    <row r="52" ht="15.75" customHeight="1" s="164"/>
    <row r="53" ht="15.75" customHeight="1" s="164"/>
    <row r="54" ht="15.75" customHeight="1" s="164"/>
    <row r="55" ht="15.75" customHeight="1" s="164"/>
    <row r="56" ht="15.75" customHeight="1" s="164"/>
    <row r="57" ht="15.75" customHeight="1" s="164"/>
    <row r="58" ht="15.75" customHeight="1" s="164"/>
    <row r="59" ht="15.75" customHeight="1" s="164"/>
    <row r="60" ht="15.7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26">
    <mergeCell ref="D1:E1"/>
    <mergeCell ref="H1:I1"/>
    <mergeCell ref="J1:K1"/>
    <mergeCell ref="P1:Q1"/>
    <mergeCell ref="B24:H24"/>
    <mergeCell ref="B15:H15"/>
    <mergeCell ref="B2:H3"/>
    <mergeCell ref="AB1:AC1"/>
    <mergeCell ref="V1:W1"/>
    <mergeCell ref="B16:H16"/>
    <mergeCell ref="B25:H25"/>
    <mergeCell ref="B1:C1"/>
    <mergeCell ref="N1:O1"/>
    <mergeCell ref="B28:H29"/>
    <mergeCell ref="B22:H22"/>
    <mergeCell ref="B18:H18"/>
    <mergeCell ref="B21:H21"/>
    <mergeCell ref="T1:U1"/>
    <mergeCell ref="B12:H12"/>
    <mergeCell ref="L1:M1"/>
    <mergeCell ref="B13:H13"/>
    <mergeCell ref="X1:Y1"/>
    <mergeCell ref="Z1:AA1"/>
    <mergeCell ref="B19:H19"/>
    <mergeCell ref="F1:G1"/>
    <mergeCell ref="R1:S1"/>
  </mergeCell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0"/>
  </sheetPr>
  <dimension ref="B1:AC5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4" customWidth="1" style="163" min="2" max="2"/>
    <col width="18" customWidth="1" style="163" min="3" max="3"/>
    <col width="22" customWidth="1" style="163" min="4" max="4"/>
    <col width="20" customWidth="1" style="163" min="5" max="5"/>
    <col width="22" customWidth="1" style="163" min="6" max="6"/>
    <col width="24" customWidth="1" style="163" min="7" max="7"/>
    <col width="20" customWidth="1" style="163" min="8" max="8"/>
    <col width="10" customWidth="1" style="163" min="9" max="9"/>
    <col width="20" customWidth="1" style="163" min="10" max="10"/>
    <col width="11" customWidth="1" style="163" min="11" max="11"/>
    <col hidden="1" width="13" customWidth="1" style="163" min="12" max="12"/>
    <col width="8.710000000000001" customWidth="1" style="163" min="13" max="13"/>
    <col hidden="1" width="13" customWidth="1" style="163" min="14" max="14"/>
    <col width="8.710000000000001" customWidth="1" style="163" min="15" max="15"/>
    <col hidden="1" width="13" customWidth="1" style="163" min="16" max="16"/>
    <col width="8.710000000000001" customWidth="1" style="163" min="17" max="29"/>
  </cols>
  <sheetData>
    <row r="1" ht="19.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5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BANQUE DE REUSSITES</t>
        </is>
      </c>
    </row>
    <row r="3" ht="15" customHeight="1" s="164"/>
    <row r="4" ht="30" customHeight="1" s="164">
      <c r="B4" s="287" t="inlineStr">
        <is>
          <t>Construisez ici une reserve de vos meilleures reussites au format STAR (Situation, Tache, Action, Resultat). Cette banque alimente ensuite vos lettres de motivation et vos reponses d'entretien — vous ne repartez jamais de zero.</t>
        </is>
      </c>
    </row>
    <row r="5" ht="15" customHeight="1" s="164"/>
    <row r="6" ht="15" customHeight="1" s="164"/>
    <row r="7" ht="23.25" customHeight="1" s="164">
      <c r="B7" s="184" t="inlineStr">
        <is>
          <t>#</t>
        </is>
      </c>
      <c r="C7" s="184" t="inlineStr">
        <is>
          <t>Titre court</t>
        </is>
      </c>
      <c r="D7" s="184" t="inlineStr">
        <is>
          <t>Situation</t>
        </is>
      </c>
      <c r="E7" s="184" t="inlineStr">
        <is>
          <t>Tache</t>
        </is>
      </c>
      <c r="F7" s="184" t="inlineStr">
        <is>
          <t>Action</t>
        </is>
      </c>
      <c r="G7" s="184" t="inlineStr">
        <is>
          <t>Resultat (chiffre)</t>
        </is>
      </c>
      <c r="H7" s="184" t="inlineStr">
        <is>
          <t>Competences demontrees</t>
        </is>
      </c>
      <c r="I7" s="184" t="inlineStr">
        <is>
          <t>Impact (1-5)</t>
        </is>
      </c>
      <c r="J7" s="184" t="inlineStr">
        <is>
          <t>Categorie</t>
        </is>
      </c>
      <c r="K7" s="184" t="inlineStr">
        <is>
          <t>Utilisations</t>
        </is>
      </c>
      <c r="L7" s="184" t="inlineStr">
        <is>
          <t>Completude</t>
        </is>
      </c>
      <c r="N7" s="169" t="inlineStr">
        <is>
          <t>rangF</t>
        </is>
      </c>
      <c r="P7" s="169" t="inlineStr">
        <is>
          <t>rangI</t>
        </is>
      </c>
    </row>
    <row r="8" ht="39.75" customHeight="1" s="164">
      <c r="B8" s="196" t="n">
        <v>1</v>
      </c>
      <c r="C8" s="310" t="n"/>
      <c r="D8" s="310" t="n"/>
      <c r="E8" s="310" t="n"/>
      <c r="F8" s="310" t="n"/>
      <c r="G8" s="310" t="n"/>
      <c r="H8" s="310" t="n"/>
      <c r="I8" s="311" t="n"/>
      <c r="K8" s="277" t="n">
        <v>0</v>
      </c>
      <c r="L8" s="196">
        <f>IF(COUNTBLANK(D8:G8)=0,"Complet",IF(COUNTBLANK(D8:G8)=4,"","Incomplet ("&amp;(4-COUNTBLANK(D8:G8))&amp;"/4)"))</f>
        <v/>
      </c>
      <c r="N8" s="169">
        <f>IF($J8=$D$38,MAX($N$7:N7)+1,"")</f>
        <v/>
      </c>
      <c r="P8" s="169">
        <f>IFERROR(I8+ROW()/100000,0)</f>
        <v/>
      </c>
    </row>
    <row r="9" ht="39.75" customHeight="1" s="164">
      <c r="B9" s="196" t="n">
        <v>2</v>
      </c>
      <c r="C9" s="310" t="n"/>
      <c r="D9" s="310" t="n"/>
      <c r="E9" s="310" t="n"/>
      <c r="F9" s="310" t="n"/>
      <c r="G9" s="310" t="n"/>
      <c r="H9" s="310" t="n"/>
      <c r="I9" s="311" t="n"/>
      <c r="K9" s="277" t="n">
        <v>0</v>
      </c>
      <c r="L9" s="196">
        <f>IF(COUNTBLANK(D9:G9)=0,"Complet",IF(COUNTBLANK(D9:G9)=4,"","Incomplet ("&amp;(4-COUNTBLANK(D9:G9))&amp;"/4)"))</f>
        <v/>
      </c>
      <c r="N9" s="169">
        <f>IF($J9=$D$38,MAX($N$7:N8)+1,"")</f>
        <v/>
      </c>
      <c r="P9" s="169">
        <f>IFERROR(I9+ROW()/100000,0)</f>
        <v/>
      </c>
    </row>
    <row r="10" ht="39.75" customHeight="1" s="164">
      <c r="B10" s="196" t="n">
        <v>3</v>
      </c>
      <c r="C10" s="310" t="n"/>
      <c r="D10" s="310" t="n"/>
      <c r="E10" s="310" t="n"/>
      <c r="F10" s="310" t="n"/>
      <c r="G10" s="310" t="n"/>
      <c r="H10" s="310" t="n"/>
      <c r="I10" s="311" t="n"/>
      <c r="K10" s="277" t="n">
        <v>0</v>
      </c>
      <c r="L10" s="196">
        <f>IF(COUNTBLANK(D10:G10)=0,"Complet",IF(COUNTBLANK(D10:G10)=4,"","Incomplet ("&amp;(4-COUNTBLANK(D10:G10))&amp;"/4)"))</f>
        <v/>
      </c>
      <c r="N10" s="169">
        <f>IF($J10=$D$38,MAX($N$7:N9)+1,"")</f>
        <v/>
      </c>
      <c r="P10" s="169">
        <f>IFERROR(I10+ROW()/100000,0)</f>
        <v/>
      </c>
    </row>
    <row r="11" ht="39.75" customHeight="1" s="164">
      <c r="B11" s="196" t="n">
        <v>4</v>
      </c>
      <c r="C11" s="310" t="n"/>
      <c r="D11" s="310" t="n"/>
      <c r="E11" s="310" t="n"/>
      <c r="F11" s="310" t="n"/>
      <c r="G11" s="310" t="n"/>
      <c r="H11" s="310" t="n"/>
      <c r="I11" s="311" t="n"/>
      <c r="K11" s="277" t="n">
        <v>0</v>
      </c>
      <c r="L11" s="196">
        <f>IF(COUNTBLANK(D11:G11)=0,"Complet",IF(COUNTBLANK(D11:G11)=4,"","Incomplet ("&amp;(4-COUNTBLANK(D11:G11))&amp;"/4)"))</f>
        <v/>
      </c>
      <c r="N11" s="169">
        <f>IF($J11=$D$38,MAX($N$7:N10)+1,"")</f>
        <v/>
      </c>
      <c r="P11" s="169">
        <f>IFERROR(I11+ROW()/100000,0)</f>
        <v/>
      </c>
    </row>
    <row r="12" ht="39.75" customHeight="1" s="164">
      <c r="B12" s="196" t="n">
        <v>5</v>
      </c>
      <c r="C12" s="310" t="n"/>
      <c r="D12" s="310" t="n"/>
      <c r="E12" s="310" t="n"/>
      <c r="F12" s="310" t="n"/>
      <c r="G12" s="310" t="n"/>
      <c r="H12" s="310" t="n"/>
      <c r="I12" s="311" t="n"/>
      <c r="K12" s="277" t="n">
        <v>0</v>
      </c>
      <c r="L12" s="196">
        <f>IF(COUNTBLANK(D12:G12)=0,"Complet",IF(COUNTBLANK(D12:G12)=4,"","Incomplet ("&amp;(4-COUNTBLANK(D12:G12))&amp;"/4)"))</f>
        <v/>
      </c>
      <c r="N12" s="169">
        <f>IF($J12=$D$38,MAX($N$7:N11)+1,"")</f>
        <v/>
      </c>
      <c r="P12" s="169">
        <f>IFERROR(I12+ROW()/100000,0)</f>
        <v/>
      </c>
    </row>
    <row r="13" ht="39.75" customHeight="1" s="164">
      <c r="B13" s="196" t="n">
        <v>6</v>
      </c>
      <c r="C13" s="310" t="n"/>
      <c r="D13" s="310" t="n"/>
      <c r="E13" s="310" t="n"/>
      <c r="F13" s="310" t="n"/>
      <c r="G13" s="310" t="n"/>
      <c r="H13" s="310" t="n"/>
      <c r="I13" s="311" t="n"/>
      <c r="K13" s="277" t="n">
        <v>0</v>
      </c>
      <c r="L13" s="196">
        <f>IF(COUNTBLANK(D13:G13)=0,"Complet",IF(COUNTBLANK(D13:G13)=4,"","Incomplet ("&amp;(4-COUNTBLANK(D13:G13))&amp;"/4)"))</f>
        <v/>
      </c>
      <c r="N13" s="169">
        <f>IF($J13=$D$38,MAX($N$7:N12)+1,"")</f>
        <v/>
      </c>
      <c r="P13" s="169">
        <f>IFERROR(I13+ROW()/100000,0)</f>
        <v/>
      </c>
    </row>
    <row r="14" ht="39.75" customHeight="1" s="164">
      <c r="B14" s="196" t="n">
        <v>7</v>
      </c>
      <c r="C14" s="310" t="n"/>
      <c r="D14" s="310" t="n"/>
      <c r="E14" s="310" t="n"/>
      <c r="F14" s="310" t="n"/>
      <c r="G14" s="310" t="n"/>
      <c r="H14" s="310" t="n"/>
      <c r="I14" s="311" t="n"/>
      <c r="K14" s="277" t="n">
        <v>0</v>
      </c>
      <c r="L14" s="196">
        <f>IF(COUNTBLANK(D14:G14)=0,"Complet",IF(COUNTBLANK(D14:G14)=4,"","Incomplet ("&amp;(4-COUNTBLANK(D14:G14))&amp;"/4)"))</f>
        <v/>
      </c>
      <c r="N14" s="169">
        <f>IF($J14=$D$38,MAX($N$7:N13)+1,"")</f>
        <v/>
      </c>
      <c r="P14" s="169">
        <f>IFERROR(I14+ROW()/100000,0)</f>
        <v/>
      </c>
    </row>
    <row r="15" ht="39.75" customHeight="1" s="164">
      <c r="B15" s="196" t="n">
        <v>8</v>
      </c>
      <c r="C15" s="310" t="n"/>
      <c r="D15" s="310" t="n"/>
      <c r="E15" s="310" t="n"/>
      <c r="F15" s="310" t="n"/>
      <c r="G15" s="310" t="n"/>
      <c r="H15" s="310" t="n"/>
      <c r="I15" s="311" t="n"/>
      <c r="K15" s="277" t="n">
        <v>0</v>
      </c>
      <c r="L15" s="196">
        <f>IF(COUNTBLANK(D15:G15)=0,"Complet",IF(COUNTBLANK(D15:G15)=4,"","Incomplet ("&amp;(4-COUNTBLANK(D15:G15))&amp;"/4)"))</f>
        <v/>
      </c>
      <c r="N15" s="169">
        <f>IF($J15=$D$38,MAX($N$7:N14)+1,"")</f>
        <v/>
      </c>
      <c r="P15" s="169">
        <f>IFERROR(I15+ROW()/100000,0)</f>
        <v/>
      </c>
    </row>
    <row r="16" ht="39.75" customHeight="1" s="164">
      <c r="B16" s="196" t="n">
        <v>9</v>
      </c>
      <c r="C16" s="310" t="n"/>
      <c r="D16" s="310" t="n"/>
      <c r="E16" s="310" t="n"/>
      <c r="F16" s="310" t="n"/>
      <c r="G16" s="310" t="n"/>
      <c r="H16" s="310" t="n"/>
      <c r="I16" s="311" t="n"/>
      <c r="K16" s="277" t="n">
        <v>0</v>
      </c>
      <c r="L16" s="196">
        <f>IF(COUNTBLANK(D16:G16)=0,"Complet",IF(COUNTBLANK(D16:G16)=4,"","Incomplet ("&amp;(4-COUNTBLANK(D16:G16))&amp;"/4)"))</f>
        <v/>
      </c>
      <c r="N16" s="169">
        <f>IF($J16=$D$38,MAX($N$7:N15)+1,"")</f>
        <v/>
      </c>
      <c r="P16" s="169">
        <f>IFERROR(I16+ROW()/100000,0)</f>
        <v/>
      </c>
    </row>
    <row r="17" ht="39.75" customHeight="1" s="164">
      <c r="B17" s="196" t="n">
        <v>10</v>
      </c>
      <c r="C17" s="310" t="n"/>
      <c r="D17" s="310" t="n"/>
      <c r="E17" s="310" t="n"/>
      <c r="F17" s="310" t="n"/>
      <c r="G17" s="310" t="n"/>
      <c r="H17" s="310" t="n"/>
      <c r="I17" s="311" t="n"/>
      <c r="K17" s="277" t="n">
        <v>0</v>
      </c>
      <c r="L17" s="196">
        <f>IF(COUNTBLANK(D17:G17)=0,"Complet",IF(COUNTBLANK(D17:G17)=4,"","Incomplet ("&amp;(4-COUNTBLANK(D17:G17))&amp;"/4)"))</f>
        <v/>
      </c>
      <c r="N17" s="169">
        <f>IF($J17=$D$38,MAX($N$7:N16)+1,"")</f>
        <v/>
      </c>
      <c r="P17" s="169">
        <f>IFERROR(I17+ROW()/100000,0)</f>
        <v/>
      </c>
    </row>
    <row r="18" ht="39.75" customHeight="1" s="164">
      <c r="B18" s="196" t="n">
        <v>11</v>
      </c>
      <c r="C18" s="310" t="n"/>
      <c r="D18" s="310" t="n"/>
      <c r="E18" s="310" t="n"/>
      <c r="F18" s="310" t="n"/>
      <c r="G18" s="310" t="n"/>
      <c r="H18" s="310" t="n"/>
      <c r="I18" s="311" t="n"/>
      <c r="K18" s="277" t="n">
        <v>0</v>
      </c>
      <c r="L18" s="196">
        <f>IF(COUNTBLANK(D18:G18)=0,"Complet",IF(COUNTBLANK(D18:G18)=4,"","Incomplet ("&amp;(4-COUNTBLANK(D18:G18))&amp;"/4)"))</f>
        <v/>
      </c>
      <c r="N18" s="169">
        <f>IF($J18=$D$38,MAX($N$7:N17)+1,"")</f>
        <v/>
      </c>
      <c r="P18" s="169">
        <f>IFERROR(I18+ROW()/100000,0)</f>
        <v/>
      </c>
    </row>
    <row r="19" ht="39.75" customHeight="1" s="164">
      <c r="B19" s="196" t="n">
        <v>12</v>
      </c>
      <c r="C19" s="310" t="n"/>
      <c r="D19" s="310" t="n"/>
      <c r="E19" s="310" t="n"/>
      <c r="F19" s="310" t="n"/>
      <c r="G19" s="310" t="n"/>
      <c r="H19" s="310" t="n"/>
      <c r="I19" s="311" t="n"/>
      <c r="K19" s="277" t="n">
        <v>0</v>
      </c>
      <c r="L19" s="196">
        <f>IF(COUNTBLANK(D19:G19)=0,"Complet",IF(COUNTBLANK(D19:G19)=4,"","Incomplet ("&amp;(4-COUNTBLANK(D19:G19))&amp;"/4)"))</f>
        <v/>
      </c>
      <c r="N19" s="169">
        <f>IF($J19=$D$38,MAX($N$7:N18)+1,"")</f>
        <v/>
      </c>
      <c r="P19" s="169">
        <f>IFERROR(I19+ROW()/100000,0)</f>
        <v/>
      </c>
    </row>
    <row r="20" ht="15" customHeight="1" s="164"/>
    <row r="21" ht="15" customHeight="1" s="164">
      <c r="B21" s="198" t="inlineStr">
        <is>
          <t>APERCU DE LA BANQUE</t>
        </is>
      </c>
    </row>
    <row r="22" ht="15" customHeight="1" s="164">
      <c r="B22" s="201" t="inlineStr">
        <is>
          <t>Reussites completes (STAR entier)</t>
        </is>
      </c>
      <c r="D22" s="312">
        <f>COUNTIF(L8:L19,"Complet")&amp;" / "&amp;COUNTA(C8:C19)</f>
        <v/>
      </c>
    </row>
    <row r="23" ht="15" customHeight="1" s="164">
      <c r="B23" s="201" t="inlineStr">
        <is>
          <t>Score d'impact moyen</t>
        </is>
      </c>
      <c r="D23" s="312">
        <f>IFERROR(ROUND(AVERAGE(I8:I19),1),"—")&amp;" / 5"</f>
        <v/>
      </c>
      <c r="G23" s="313" t="n"/>
    </row>
    <row r="24" ht="15" customHeight="1" s="164">
      <c r="B24" s="201" t="inlineStr">
        <is>
          <t>Reussite la plus utilisee</t>
        </is>
      </c>
      <c r="D24" s="312">
        <f t="array" ref="D24:D24">IF(COUNTA(C8:C19)=0,"—",IFERROR(INDEX(C8:C19,MATCH(MAX(K8:K19),K8:K19,0)),"—"))</f>
        <v/>
      </c>
      <c r="G24" s="196" t="n"/>
    </row>
    <row r="25" ht="15" customHeight="1" s="164">
      <c r="B25" s="195" t="n"/>
      <c r="D25" s="195" t="n"/>
      <c r="G25" s="196" t="n"/>
    </row>
    <row r="26" ht="15" customHeight="1" s="164">
      <c r="B26" s="195" t="n"/>
      <c r="D26" s="195" t="n"/>
      <c r="G26" s="196" t="n"/>
    </row>
    <row r="27" ht="15" customHeight="1" s="164">
      <c r="B27" s="198" t="inlineStr">
        <is>
          <t>REPARTITION PAR CATEGORIE</t>
        </is>
      </c>
      <c r="G27" s="196" t="n"/>
    </row>
    <row r="28" ht="15" customHeight="1" s="164">
      <c r="B28" s="195" t="n"/>
      <c r="D28" s="195" t="n"/>
      <c r="G28" s="196" t="n"/>
    </row>
    <row r="29" ht="15" customHeight="1" s="164">
      <c r="B29" s="195" t="inlineStr">
        <is>
          <t>Technique</t>
        </is>
      </c>
      <c r="C29" s="196">
        <f>COUNTIF($J$8:$J$19,B29)</f>
        <v/>
      </c>
    </row>
    <row r="30" ht="15" customHeight="1" s="164">
      <c r="B30" s="195" t="inlineStr">
        <is>
          <t>Leadership</t>
        </is>
      </c>
      <c r="C30" s="196">
        <f>COUNTIF($J$8:$J$19,B30)</f>
        <v/>
      </c>
    </row>
    <row r="31" ht="15" customHeight="1" s="164">
      <c r="B31" s="195" t="inlineStr">
        <is>
          <t>Communication</t>
        </is>
      </c>
      <c r="C31" s="196">
        <f>COUNTIF($J$8:$J$19,B31)</f>
        <v/>
      </c>
    </row>
    <row r="32" ht="15" customHeight="1" s="164">
      <c r="B32" s="195" t="inlineStr">
        <is>
          <t>Resolution de probleme</t>
        </is>
      </c>
      <c r="C32" s="196">
        <f>COUNTIF($J$8:$J$19,B32)</f>
        <v/>
      </c>
    </row>
    <row r="33" ht="15" customHeight="1" s="164">
      <c r="B33" s="195" t="inlineStr">
        <is>
          <t>Gestion de projet</t>
        </is>
      </c>
      <c r="C33" s="196">
        <f>COUNTIF($J$8:$J$19,B33)</f>
        <v/>
      </c>
    </row>
    <row r="34" ht="15" customHeight="1" s="164">
      <c r="B34" s="195" t="inlineStr">
        <is>
          <t>Relation client/fournisseur</t>
        </is>
      </c>
      <c r="C34" s="196">
        <f>COUNTIF($J$8:$J$19,B34)</f>
        <v/>
      </c>
    </row>
    <row r="35" ht="15" customHeight="1" s="164"/>
    <row r="36" ht="15" customHeight="1" s="164"/>
    <row r="37" ht="15" customHeight="1" s="164">
      <c r="B37" s="198" t="inlineStr">
        <is>
          <t>FILTRER LA BANQUE PAR CATEGORIE</t>
        </is>
      </c>
    </row>
    <row r="38" ht="15" customHeight="1" s="164">
      <c r="B38" s="297" t="inlineStr">
        <is>
          <t>Categorie a afficher :</t>
        </is>
      </c>
      <c r="D38" s="301" t="inlineStr">
        <is>
          <t>Technique</t>
        </is>
      </c>
    </row>
    <row r="39" ht="15" customHeight="1" s="164"/>
    <row r="40" ht="15" customHeight="1" s="164">
      <c r="B40" s="211" t="inlineStr">
        <is>
          <t>Titre</t>
        </is>
      </c>
      <c r="D40" s="211" t="inlineStr">
        <is>
          <t>Resultat</t>
        </is>
      </c>
      <c r="G40" s="211" t="inlineStr">
        <is>
          <t>Impact</t>
        </is>
      </c>
    </row>
    <row r="41" ht="15" customHeight="1" s="164">
      <c r="B41" s="195">
        <f t="array" ref="B41:B41">IFERROR(INDEX($C$8:$C$19,MATCH(1,$N$8:$N$19,0)),"")</f>
        <v/>
      </c>
      <c r="D41" s="195">
        <f t="array" ref="D41:D41">IFERROR(INDEX($G$8:$G$19,MATCH(1,$N$8:$N$19,0)),"")</f>
        <v/>
      </c>
      <c r="G41" s="196">
        <f t="array" ref="G41:G41">IFERROR(INDEX($I$8:$I$19,MATCH(1,$N$8:$N$19,0)),"")</f>
        <v/>
      </c>
    </row>
    <row r="42" ht="15" customHeight="1" s="164">
      <c r="B42" s="195">
        <f t="array" ref="B42:B42">IFERROR(INDEX($C$8:$C$19,MATCH(2,$N$8:$N$19,0)),"")</f>
        <v/>
      </c>
      <c r="D42" s="195">
        <f t="array" ref="D42:D42">IFERROR(INDEX($G$8:$G$19,MATCH(2,$N$8:$N$19,0)),"")</f>
        <v/>
      </c>
      <c r="G42" s="196">
        <f t="array" ref="G42:G42">IFERROR(INDEX($I$8:$I$19,MATCH(2,$N$8:$N$19,0)),"")</f>
        <v/>
      </c>
    </row>
    <row r="43" ht="15" customHeight="1" s="164">
      <c r="B43" s="195">
        <f t="array" ref="B43:B43">IFERROR(INDEX($C$8:$C$19,MATCH(3,$N$8:$N$19,0)),"")</f>
        <v/>
      </c>
      <c r="D43" s="195">
        <f t="array" ref="D43:D43">IFERROR(INDEX($G$8:$G$19,MATCH(3,$N$8:$N$19,0)),"")</f>
        <v/>
      </c>
      <c r="G43" s="196">
        <f t="array" ref="G43:G43">IFERROR(INDEX($I$8:$I$19,MATCH(3,$N$8:$N$19,0)),"")</f>
        <v/>
      </c>
    </row>
    <row r="44" ht="15" customHeight="1" s="164">
      <c r="B44" s="195">
        <f t="array" ref="B44:B44">IFERROR(INDEX($C$8:$C$19,MATCH(4,$N$8:$N$19,0)),"")</f>
        <v/>
      </c>
      <c r="D44" s="195">
        <f t="array" ref="D44:D44">IFERROR(INDEX($G$8:$G$19,MATCH(4,$N$8:$N$19,0)),"")</f>
        <v/>
      </c>
      <c r="G44" s="196">
        <f t="array" ref="G44:G44">IFERROR(INDEX($I$8:$I$19,MATCH(4,$N$8:$N$19,0)),"")</f>
        <v/>
      </c>
    </row>
    <row r="45" ht="15" customHeight="1" s="164">
      <c r="B45" s="195">
        <f t="array" ref="B45:B45">IFERROR(INDEX($C$8:$C$19,MATCH(5,$N$8:$N$19,0)),"")</f>
        <v/>
      </c>
      <c r="D45" s="195">
        <f t="array" ref="D45:D45">IFERROR(INDEX($G$8:$G$19,MATCH(5,$N$8:$N$19,0)),"")</f>
        <v/>
      </c>
      <c r="G45" s="196">
        <f t="array" ref="G45:G45">IFERROR(INDEX($I$8:$I$19,MATCH(5,$N$8:$N$19,0)),"")</f>
        <v/>
      </c>
    </row>
    <row r="46" ht="15" customHeight="1" s="164"/>
    <row r="47" ht="15" customHeight="1" s="164"/>
    <row r="48" ht="15" customHeight="1" s="164">
      <c r="B48" s="198" t="inlineStr">
        <is>
          <t>GENERATEUR DE PITCH (30 SECONDES)</t>
        </is>
      </c>
    </row>
    <row r="49" ht="15" customHeight="1" s="164">
      <c r="B49" s="258" t="inlineStr">
        <is>
          <t>Combine automatiquement vos 2 meilleures reussites (par score d'impact) en un pitch pret pour une question 'parlez-moi de vous'.</t>
        </is>
      </c>
    </row>
    <row r="50" ht="15" customHeight="1" s="164"/>
    <row r="51" ht="90" customHeight="1" s="164">
      <c r="B51" s="314">
        <f t="array" ref="B51:B51">IF(COUNTA(C8:C19)=0,"Ajoutez au moins une reussite ci-dessus pour generer votre pitch automatiquement.","Pour resumer mon parcours : "&amp;IFERROR(INDEX($C$8:$C$19,MATCH(LARGE($P$8:$P$19,1),$P$8:$P$19,0)),"")&amp;". Concretement, "&amp;IFERROR(INDEX($G$8:$G$19,MATCH(LARGE($P$8:$P$19,1),$P$8:$P$19,0)),"")&amp;". Plus recemment, "&amp;IFERROR(INDEX($G$8:$G$19,MATCH(LARGE($P$8:$P$19,2),$P$8:$P$19,0)),"")&amp;". C'est ce type de resultat que je cherche a reproduire dans mon prochain poste.")</f>
        <v/>
      </c>
      <c r="C51" s="290" t="n"/>
      <c r="D51" s="290" t="n"/>
      <c r="E51" s="290" t="n"/>
      <c r="F51" s="290" t="n"/>
      <c r="G51" s="290" t="n"/>
      <c r="H51" s="290" t="n"/>
    </row>
    <row r="52" ht="15" customHeight="1" s="164">
      <c r="B52" s="292" t="n"/>
    </row>
    <row r="53" ht="15" customHeight="1" s="164">
      <c r="B53" s="292" t="n"/>
    </row>
    <row r="54" ht="15" customHeight="1" s="164">
      <c r="B54" s="292" t="n"/>
    </row>
    <row r="55" ht="15" customHeight="1" s="164">
      <c r="B55" s="292" t="n"/>
    </row>
    <row r="56" ht="15" customHeight="1" s="164"/>
    <row r="57" ht="15" customHeight="1" s="164"/>
    <row r="58" ht="15" customHeight="1" s="164"/>
    <row r="59" ht="15" customHeight="1" s="164"/>
    <row r="60" ht="1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38">
    <mergeCell ref="D1:E1"/>
    <mergeCell ref="D41:F41"/>
    <mergeCell ref="B49:H49"/>
    <mergeCell ref="H1:I1"/>
    <mergeCell ref="J1:K1"/>
    <mergeCell ref="P1:Q1"/>
    <mergeCell ref="B22:C22"/>
    <mergeCell ref="B4:J5"/>
    <mergeCell ref="B27:F27"/>
    <mergeCell ref="D43:F43"/>
    <mergeCell ref="B43:C43"/>
    <mergeCell ref="B21:F21"/>
    <mergeCell ref="AB1:AC1"/>
    <mergeCell ref="B48:F48"/>
    <mergeCell ref="V1:W1"/>
    <mergeCell ref="B42:C42"/>
    <mergeCell ref="B23:C23"/>
    <mergeCell ref="B51:H55"/>
    <mergeCell ref="B1:C1"/>
    <mergeCell ref="N1:O1"/>
    <mergeCell ref="D24:F24"/>
    <mergeCell ref="D42:F42"/>
    <mergeCell ref="B2:J3"/>
    <mergeCell ref="B44:C44"/>
    <mergeCell ref="T1:U1"/>
    <mergeCell ref="L1:M1"/>
    <mergeCell ref="B37:F37"/>
    <mergeCell ref="D44:F44"/>
    <mergeCell ref="B40:C40"/>
    <mergeCell ref="B24:C24"/>
    <mergeCell ref="X1:Y1"/>
    <mergeCell ref="Z1:AA1"/>
    <mergeCell ref="D40:F40"/>
    <mergeCell ref="B45:C45"/>
    <mergeCell ref="D45:F45"/>
    <mergeCell ref="B41:C41"/>
    <mergeCell ref="F1:G1"/>
    <mergeCell ref="R1:S1"/>
  </mergeCells>
  <conditionalFormatting sqref="I8:I19">
    <cfRule type="colorScale" priority="2">
      <colorScale>
        <cfvo type="formula" val="1"/>
        <cfvo type="formula" val="5"/>
        <color rgb="FFF4CCCC"/>
        <color rgb="FFD9EAD3"/>
      </colorScale>
    </cfRule>
  </conditionalFormatting>
  <conditionalFormatting sqref="L8:L19">
    <cfRule type="expression" rank="0" priority="3" equalAverage="0" aboveAverage="0" dxfId="0" text="" percent="0" bottom="0">
      <formula>$L8="Complet"</formula>
    </cfRule>
    <cfRule type="expression" rank="0" priority="4" equalAverage="0" aboveAverage="0" dxfId="33" text="" percent="0" bottom="0">
      <formula>LEFT($L8,9)="Incomplet"</formula>
    </cfRule>
  </conditionalFormatting>
  <dataValidations count="2">
    <dataValidation sqref="I8:I19" showDropDown="0" showInputMessage="0" showErrorMessage="0" allowBlank="1" type="decimal" errorStyle="stop" operator="between">
      <formula1>1</formula1>
      <formula2>5</formula2>
    </dataValidation>
    <dataValidation sqref="D38 J8:J19" showDropDown="0" showInputMessage="0" showErrorMessage="0" allowBlank="1" type="list" errorStyle="stop" operator="between">
      <formula1>"Technique,Leadership,Communication,Resolution de probleme,Gestion de projet,Relation client/fournisseur"</formula1>
      <formula2>0</formula2>
    </dataValidation>
  </dataValidation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B1:AG40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C6" activeCellId="0" sqref="C6"/>
    </sheetView>
  </sheetViews>
  <sheetFormatPr baseColWidth="8" defaultColWidth="14.43359375" defaultRowHeight="15" zeroHeight="0" outlineLevelRow="0"/>
  <cols>
    <col width="2" customWidth="1" style="163" min="1" max="1"/>
    <col width="5" customWidth="1" style="163" min="2" max="2"/>
    <col width="26" customWidth="1" style="163" min="3" max="3"/>
    <col width="32" customWidth="1" style="163" min="4" max="4"/>
    <col width="16" customWidth="1" style="163" min="5" max="6"/>
    <col width="21.71" customWidth="1" style="163" min="7" max="7"/>
    <col width="22" customWidth="1" style="163" min="8" max="9"/>
    <col width="20" customWidth="1" style="163" min="10" max="10"/>
    <col width="32" customWidth="1" style="163" min="11" max="11"/>
    <col width="34" customWidth="1" style="163" min="12" max="12"/>
    <col width="32" customWidth="1" style="163" min="13" max="13"/>
    <col width="14" customWidth="1" style="163" min="14" max="26"/>
  </cols>
  <sheetData>
    <row r="1" ht="15" customHeight="1" s="164">
      <c r="B1" s="166" t="inlineStr">
        <is>
          <t>Add link here</t>
        </is>
      </c>
      <c r="D1" s="166" t="inlineStr">
        <is>
          <t>Add link here</t>
        </is>
      </c>
      <c r="F1" s="165" t="inlineStr">
        <is>
          <t>CANDIDATURES</t>
        </is>
      </c>
      <c r="H1" s="166" t="inlineStr">
        <is>
          <t>Add link here</t>
        </is>
      </c>
      <c r="J1" s="166" t="inlineStr">
        <is>
          <t>Add link here</t>
        </is>
      </c>
      <c r="L1" s="166" t="inlineStr">
        <is>
          <t>Add link here</t>
        </is>
      </c>
      <c r="N1" s="166" t="inlineStr">
        <is>
          <t>Add link here</t>
        </is>
      </c>
      <c r="P1" s="166" t="inlineStr">
        <is>
          <t>Add link here</t>
        </is>
      </c>
      <c r="R1" s="166" t="inlineStr">
        <is>
          <t>Add link here</t>
        </is>
      </c>
      <c r="T1" s="166" t="inlineStr">
        <is>
          <t>Add link here</t>
        </is>
      </c>
      <c r="V1" s="166" t="inlineStr">
        <is>
          <t>Add link here</t>
        </is>
      </c>
      <c r="X1" s="166" t="inlineStr">
        <is>
          <t>Add link here</t>
        </is>
      </c>
      <c r="Z1" s="166" t="inlineStr">
        <is>
          <t>Add link here</t>
        </is>
      </c>
      <c r="AB1" s="166" t="inlineStr">
        <is>
          <t>Add link here</t>
        </is>
      </c>
      <c r="AD1" s="163" t="n"/>
      <c r="AE1" s="163" t="n"/>
      <c r="AF1" s="163" t="n"/>
      <c r="AG1" s="163" t="n"/>
    </row>
    <row r="2" ht="15" customHeight="1" s="164">
      <c r="B2" s="213" t="inlineStr">
        <is>
          <t>SUIVI DES CANDIDATURES</t>
        </is>
      </c>
    </row>
    <row r="3" ht="15" customHeight="1" s="164"/>
    <row r="4" ht="15" customHeight="1" s="164">
      <c r="C4" s="214" t="inlineStr">
        <is>
          <t>Trier : cliquez sur le ▼ dans l'en-tête "Date de candidature"</t>
        </is>
      </c>
      <c r="I4" s="214" t="inlineStr">
        <is>
          <t>Ajouter : tapez simplement dans la 1ère ligne vide — tout se calcule automatiquement</t>
        </is>
      </c>
    </row>
    <row r="5" ht="23.25" customHeight="1" s="164">
      <c r="B5" s="215" t="inlineStr">
        <is>
          <t>#</t>
        </is>
      </c>
      <c r="C5" s="215" t="inlineStr">
        <is>
          <t>Entreprise</t>
        </is>
      </c>
      <c r="D5" s="215" t="inlineStr">
        <is>
          <t>Poste</t>
        </is>
      </c>
      <c r="E5" s="215" t="inlineStr">
        <is>
          <t>Ville</t>
        </is>
      </c>
      <c r="F5" s="215" t="inlineStr">
        <is>
          <t>Date de candidature</t>
        </is>
      </c>
      <c r="G5" s="215" t="inlineStr">
        <is>
          <t>Statut</t>
        </is>
      </c>
      <c r="H5" s="215" t="inlineStr">
        <is>
          <t>Relance</t>
        </is>
      </c>
      <c r="I5" s="215" t="inlineStr">
        <is>
          <t>Contact RH</t>
        </is>
      </c>
      <c r="J5" s="215" t="inlineStr">
        <is>
          <t>Salaire estimé</t>
        </is>
      </c>
      <c r="K5" s="215" t="inlineStr">
        <is>
          <t>Notes / Actions</t>
        </is>
      </c>
      <c r="L5" s="215" t="inlineStr">
        <is>
          <t>Lien offre</t>
        </is>
      </c>
      <c r="M5" s="215" t="inlineStr">
        <is>
          <t>Notes complémentaires</t>
        </is>
      </c>
      <c r="N5" s="184" t="inlineStr">
        <is>
          <t>Jours écoulés</t>
        </is>
      </c>
      <c r="O5" s="184" t="inlineStr">
        <is>
          <t>Suivi</t>
        </is>
      </c>
      <c r="P5" s="211" t="inlineStr">
        <is>
          <t>Rang relance</t>
        </is>
      </c>
      <c r="Q5" s="184" t="inlineStr">
        <is>
          <t>Semaine</t>
        </is>
      </c>
      <c r="R5" s="184" t="inlineStr">
        <is>
          <t>Score priorité</t>
        </is>
      </c>
      <c r="S5" s="169" t="inlineStr">
        <is>
          <t>Idx contact</t>
        </is>
      </c>
      <c r="T5" s="184" t="inlineStr">
        <is>
          <t>Doublon ?</t>
        </is>
      </c>
      <c r="U5" s="211" t="inlineStr">
        <is>
          <t>Rang entretien</t>
        </is>
      </c>
      <c r="V5" s="163" t="inlineStr">
        <is>
          <t>Nb</t>
        </is>
      </c>
      <c r="W5" s="163" t="inlineStr">
        <is>
          <t>Idx ville</t>
        </is>
      </c>
    </row>
    <row r="6" ht="34.5" customHeight="1" s="164">
      <c r="B6" s="216" t="n">
        <v>1</v>
      </c>
      <c r="C6" s="217" t="inlineStr">
        <is>
          <t>Sunridge Retail Group</t>
        </is>
      </c>
      <c r="D6" s="217" t="inlineStr">
        <is>
          <t>Marketing Coordinator - R-10432</t>
        </is>
      </c>
      <c r="E6" s="217" t="inlineStr">
        <is>
          <t>Meadowbrook</t>
        </is>
      </c>
      <c r="F6" s="218" t="n">
        <v>46206</v>
      </c>
      <c r="G6" s="219" t="inlineStr">
        <is>
          <t>Candidature envoyée</t>
        </is>
      </c>
      <c r="H6" s="217" t="inlineStr">
        <is>
          <t>Check on my profile (Career site)</t>
        </is>
      </c>
      <c r="I6" s="217" t="inlineStr">
        <is>
          <t>Sarah Bennett
(She accepted me on LinkedIn :) )</t>
        </is>
      </c>
      <c r="J6" s="217" t="inlineStr">
        <is>
          <t>3,200 to 3,800 / month (gross)</t>
        </is>
      </c>
      <c r="K6" s="219" t="n"/>
      <c r="L6" s="220" t="inlineStr">
        <is>
          <t>Add link here</t>
        </is>
      </c>
      <c r="M6" s="219" t="n"/>
      <c r="N6" s="196">
        <f>IF($F6="","",TODAY()-$F6)</f>
        <v/>
      </c>
      <c r="O6" s="196">
        <f>IF($F6="","",IF($G6="Entretien","Suivre de près",IF($G6="Offre","Clôturé - Offre",IF($G6="Refusé","Clôturé",IF(AND($G6="Candidature envoyée",(TODAY()-$F6)&gt;14),"A relancer","En cours")))))</f>
        <v/>
      </c>
      <c r="P6" s="163">
        <f>IF($O6="A relancer",COUNTIF($O$6:$O6,"A relancer"),"")</f>
        <v/>
      </c>
      <c r="Q6" s="196">
        <f>IF($F6="","",WEEKNUM($F6,2))</f>
        <v/>
      </c>
      <c r="R6" s="196">
        <f>IF($F6="","",IF($G6="Offre",100,IF($G6="Entretien",90,IF($G6="Refusé",0,MIN(70,20+($N6*2)+IF($I6&lt;&gt;"",10,0)+IF($J6&lt;&gt;"",5,0))))))</f>
        <v/>
      </c>
      <c r="S6" s="169">
        <f>IF($I6&lt;&gt;"",MAX($S$5:$S5)+1,"")</f>
        <v/>
      </c>
      <c r="T6" s="196">
        <f>IF($C6="","",IF(COUNTIF($C$6:$C6,$C6)&gt;1,"Doublon possible",""))</f>
        <v/>
      </c>
      <c r="U6" s="169">
        <f>IF($G6="Entretien",COUNTIF($G$6:$G6,"Entretien"),"")</f>
        <v/>
      </c>
      <c r="V6" s="169">
        <f>COUNTIFS(Applications!$R$6:$R$200,"&gt;="&amp;0,Applications!$R$6:$R$200,"&lt;"&amp;20)</f>
        <v/>
      </c>
      <c r="W6" s="169">
        <f>IF($E6="","",IF(COUNTIF($E$6:$E6,$E6)=1,MAX($W$5:W5)+1,""))</f>
        <v/>
      </c>
    </row>
    <row r="7" ht="15" customHeight="1" s="164">
      <c r="B7" s="221" t="n">
        <v>2</v>
      </c>
      <c r="C7" s="222" t="inlineStr">
        <is>
          <t>Bellmont Health Partners</t>
        </is>
      </c>
      <c r="D7" s="222" t="inlineStr">
        <is>
          <t>HR Coordinator</t>
        </is>
      </c>
      <c r="E7" s="222" t="inlineStr">
        <is>
          <t>Lakeside</t>
        </is>
      </c>
      <c r="F7" s="223" t="n">
        <v>46206</v>
      </c>
      <c r="G7" s="224" t="inlineStr">
        <is>
          <t>Candidature envoyée</t>
        </is>
      </c>
      <c r="H7" s="222" t="n"/>
      <c r="I7" s="224" t="inlineStr">
        <is>
          <t>Michael Chen</t>
        </is>
      </c>
      <c r="J7" s="222" t="n"/>
      <c r="K7" s="224" t="inlineStr">
        <is>
          <t>Offre postulée</t>
        </is>
      </c>
      <c r="L7" s="225" t="inlineStr">
        <is>
          <t>Add link here</t>
        </is>
      </c>
      <c r="M7" s="224" t="n"/>
      <c r="N7" s="196">
        <f>IF($F7="","",TODAY()-$F7)</f>
        <v/>
      </c>
      <c r="O7" s="196">
        <f>IF($F7="","",IF($G7="Entretien","Suivre de près",IF($G7="Offre","Clôturé - Offre",IF($G7="Refusé","Clôturé",IF(AND($G7="Candidature envoyée",(TODAY()-$F7)&gt;14),"A relancer","En cours")))))</f>
        <v/>
      </c>
      <c r="P7" s="163">
        <f>IF($O7="A relancer",COUNTIF($O$6:$O7,"A relancer"),"")</f>
        <v/>
      </c>
      <c r="Q7" s="196">
        <f>IF($F7="","",WEEKNUM($F7,2))</f>
        <v/>
      </c>
      <c r="R7" s="196">
        <f>IF($F7="","",IF($G7="Offre",100,IF($G7="Entretien",90,IF($G7="Refusé",0,MIN(70,20+($N7*2)+IF($I7&lt;&gt;"",10,0)+IF($J7&lt;&gt;"",5,0))))))</f>
        <v/>
      </c>
      <c r="S7" s="169">
        <f>IF($I7&lt;&gt;"",MAX($S$5:$S6)+1,"")</f>
        <v/>
      </c>
      <c r="T7" s="196">
        <f>IF($C7="","",IF(COUNTIF($C$6:$C7,$C7)&gt;1,"Doublon possible",""))</f>
        <v/>
      </c>
      <c r="U7" s="169">
        <f>IF($G7="Entretien",COUNTIF($G$6:$G7,"Entretien"),"")</f>
        <v/>
      </c>
      <c r="V7" s="169">
        <f>COUNTIFS(Applications!$R$6:$R$200,"&gt;="&amp;20,Applications!$R$6:$R$200,"&lt;"&amp;40)</f>
        <v/>
      </c>
      <c r="W7" s="169">
        <f>IF($E7="","",IF(COUNTIF($E$6:$E7,$E7)=1,MAX($W$5:W6)+1,""))</f>
        <v/>
      </c>
    </row>
    <row r="8" ht="15" customHeight="1" s="164">
      <c r="B8" s="216" t="n">
        <v>3</v>
      </c>
      <c r="C8" s="217" t="inlineStr">
        <is>
          <t>Cortex Systems</t>
        </is>
      </c>
      <c r="D8" s="217" t="inlineStr">
        <is>
          <t>Junior Data Analyst</t>
        </is>
      </c>
      <c r="E8" s="217" t="inlineStr">
        <is>
          <t>Fairview</t>
        </is>
      </c>
      <c r="F8" s="218" t="n">
        <v>46206</v>
      </c>
      <c r="G8" s="219" t="inlineStr">
        <is>
          <t>Candidature envoyée</t>
        </is>
      </c>
      <c r="H8" s="217" t="inlineStr">
        <is>
          <t>LinkedIn</t>
        </is>
      </c>
      <c r="I8" s="219" t="n"/>
      <c r="J8" s="217" t="n"/>
      <c r="K8" s="219" t="inlineStr">
        <is>
          <t>Offre postulée</t>
        </is>
      </c>
      <c r="L8" s="220" t="inlineStr">
        <is>
          <t>Add link here</t>
        </is>
      </c>
      <c r="M8" s="219" t="n"/>
      <c r="N8" s="196">
        <f>IF($F8="","",TODAY()-$F8)</f>
        <v/>
      </c>
      <c r="O8" s="196">
        <f>IF($F8="","",IF($G8="Entretien","Suivre de près",IF($G8="Offre","Clôturé - Offre",IF($G8="Refusé","Clôturé",IF(AND($G8="Candidature envoyée",(TODAY()-$F8)&gt;14),"A relancer","En cours")))))</f>
        <v/>
      </c>
      <c r="P8" s="163">
        <f>IF($O8="A relancer",COUNTIF($O$6:$O8,"A relancer"),"")</f>
        <v/>
      </c>
      <c r="Q8" s="196">
        <f>IF($F8="","",WEEKNUM($F8,2))</f>
        <v/>
      </c>
      <c r="R8" s="196">
        <f>IF($F8="","",IF($G8="Offre",100,IF($G8="Entretien",90,IF($G8="Refusé",0,MIN(70,20+($N8*2)+IF($I8&lt;&gt;"",10,0)+IF($J8&lt;&gt;"",5,0))))))</f>
        <v/>
      </c>
      <c r="S8" s="169">
        <f>IF($I8&lt;&gt;"",MAX($S$5:$S7)+1,"")</f>
        <v/>
      </c>
      <c r="T8" s="196">
        <f>IF($C8="","",IF(COUNTIF($C$6:$C8,$C8)&gt;1,"Doublon possible",""))</f>
        <v/>
      </c>
      <c r="U8" s="169">
        <f>IF($G8="Entretien",COUNTIF($G$6:$G8,"Entretien"),"")</f>
        <v/>
      </c>
      <c r="V8" s="169">
        <f>COUNTIFS(Applications!$R$6:$R$200,"&gt;="&amp;40,Applications!$R$6:$R$200,"&lt;"&amp;60)</f>
        <v/>
      </c>
      <c r="W8" s="169">
        <f>IF($E8="","",IF(COUNTIF($E$6:$E8,$E8)=1,MAX($W$5:W7)+1,""))</f>
        <v/>
      </c>
    </row>
    <row r="9" ht="15" customHeight="1" s="164">
      <c r="B9" s="221" t="n">
        <v>4</v>
      </c>
      <c r="C9" s="222" t="inlineStr">
        <is>
          <t>Fairfield Devices</t>
        </is>
      </c>
      <c r="D9" s="222" t="inlineStr">
        <is>
          <t>Operations Assistant</t>
        </is>
      </c>
      <c r="E9" s="222" t="inlineStr">
        <is>
          <t>Hartwell</t>
        </is>
      </c>
      <c r="F9" s="223" t="n">
        <v>46206</v>
      </c>
      <c r="G9" s="224" t="inlineStr">
        <is>
          <t>Candidature envoyée</t>
        </is>
      </c>
      <c r="H9" s="222" t="n"/>
      <c r="I9" s="224" t="n"/>
      <c r="J9" s="222" t="n">
        <v>3400</v>
      </c>
      <c r="K9" s="224" t="inlineStr">
        <is>
          <t>Offre postulée</t>
        </is>
      </c>
      <c r="L9" s="222" t="n"/>
      <c r="M9" s="224" t="n"/>
      <c r="N9" s="196">
        <f>IF($F9="","",TODAY()-$F9)</f>
        <v/>
      </c>
      <c r="O9" s="196">
        <f>IF($F9="","",IF($G9="Entretien","Suivre de près",IF($G9="Offre","Clôturé - Offre",IF($G9="Refusé","Clôturé",IF(AND($G9="Candidature envoyée",(TODAY()-$F9)&gt;14),"A relancer","En cours")))))</f>
        <v/>
      </c>
      <c r="P9" s="163">
        <f>IF($O9="A relancer",COUNTIF($O$6:$O9,"A relancer"),"")</f>
        <v/>
      </c>
      <c r="Q9" s="196">
        <f>IF($F9="","",WEEKNUM($F9,2))</f>
        <v/>
      </c>
      <c r="R9" s="196">
        <f>IF($F9="","",IF($G9="Offre",100,IF($G9="Entretien",90,IF($G9="Refusé",0,MIN(70,20+($N9*2)+IF($I9&lt;&gt;"",10,0)+IF($J9&lt;&gt;"",5,0))))))</f>
        <v/>
      </c>
      <c r="S9" s="169">
        <f>IF($I9&lt;&gt;"",MAX($S$5:$S8)+1,"")</f>
        <v/>
      </c>
      <c r="T9" s="196">
        <f>IF($C9="","",IF(COUNTIF($C$6:$C9,$C9)&gt;1,"Doublon possible",""))</f>
        <v/>
      </c>
      <c r="U9" s="169">
        <f>IF($G9="Entretien",COUNTIF($G$6:$G9,"Entretien"),"")</f>
        <v/>
      </c>
      <c r="V9" s="169">
        <f>COUNTIFS(Applications!$R$6:$R$200,"&gt;="&amp;60,Applications!$R$6:$R$200,"&lt;"&amp;80)</f>
        <v/>
      </c>
      <c r="W9" s="169">
        <f>IF($E9="","",IF(COUNTIF($E$6:$E9,$E9)=1,MAX($W$5:W8)+1,""))</f>
        <v/>
      </c>
    </row>
    <row r="10" ht="23.25" customHeight="1" s="164">
      <c r="B10" s="216" t="n">
        <v>5</v>
      </c>
      <c r="C10" s="217" t="inlineStr">
        <is>
          <t>Meridian Energy</t>
        </is>
      </c>
      <c r="D10" s="217" t="inlineStr">
        <is>
          <t>Junior Project Coordinator</t>
        </is>
      </c>
      <c r="E10" s="217" t="inlineStr">
        <is>
          <t>Ashborough</t>
        </is>
      </c>
      <c r="F10" s="218" t="n">
        <v>46206</v>
      </c>
      <c r="G10" s="219" t="inlineStr">
        <is>
          <t>Refusé</t>
        </is>
      </c>
      <c r="H10" s="217" t="inlineStr">
        <is>
          <t>LinkedIn</t>
        </is>
      </c>
      <c r="I10" s="219" t="inlineStr">
        <is>
          <t>Laura Dupont</t>
        </is>
      </c>
      <c r="J10" s="217" t="n"/>
      <c r="K10" s="219" t="inlineStr">
        <is>
          <t>Offre postulée</t>
        </is>
      </c>
      <c r="L10" s="220" t="inlineStr">
        <is>
          <t>Add link here</t>
        </is>
      </c>
      <c r="M10" s="219" t="n"/>
      <c r="N10" s="196">
        <f>IF($F10="","",TODAY()-$F10)</f>
        <v/>
      </c>
      <c r="O10" s="196">
        <f>IF($F10="","",IF($G10="Entretien","Suivre de près",IF($G10="Offre","Clôturé - Offre",IF($G10="Refusé","Clôturé",IF(AND($G10="Candidature envoyée",(TODAY()-$F10)&gt;14),"A relancer","En cours")))))</f>
        <v/>
      </c>
      <c r="P10" s="163">
        <f>IF($O10="A relancer",COUNTIF($O$6:$O10,"A relancer"),"")</f>
        <v/>
      </c>
      <c r="Q10" s="196">
        <f>IF($F10="","",WEEKNUM($F10,2))</f>
        <v/>
      </c>
      <c r="R10" s="196">
        <f>IF($F10="","",IF($G10="Offre",100,IF($G10="Entretien",90,IF($G10="Refusé",0,MIN(70,20+($N10*2)+IF($I10&lt;&gt;"",10,0)+IF($J10&lt;&gt;"",5,0))))))</f>
        <v/>
      </c>
      <c r="S10" s="169">
        <f>IF($I10&lt;&gt;"",MAX($S$5:$S9)+1,"")</f>
        <v/>
      </c>
      <c r="T10" s="196">
        <f>IF($C10="","",IF(COUNTIF($C$6:$C10,$C10)&gt;1,"Doublon possible",""))</f>
        <v/>
      </c>
      <c r="U10" s="169">
        <f>IF($G10="Entretien",COUNTIF($G$6:$G10,"Entretien"),"")</f>
        <v/>
      </c>
      <c r="V10" s="169">
        <f>COUNTIFS(Applications!$R$6:$R$200,"&gt;="&amp;80,Applications!$R$6:$R$200,"&lt;"&amp;101)</f>
        <v/>
      </c>
      <c r="W10" s="169">
        <f>IF($E10="","",IF(COUNTIF($E$6:$E10,$E10)=1,MAX($W$5:W9)+1,""))</f>
        <v/>
      </c>
    </row>
    <row r="11" ht="15" customHeight="1" s="164">
      <c r="B11" s="221" t="n">
        <v>6</v>
      </c>
      <c r="C11" s="222" t="inlineStr">
        <is>
          <t>Anderson Industrial Supply</t>
        </is>
      </c>
      <c r="D11" s="222" t="inlineStr">
        <is>
          <t>Customer Success Associate - 6 Month Contract</t>
        </is>
      </c>
      <c r="E11" s="222" t="inlineStr">
        <is>
          <t>Ashborough</t>
        </is>
      </c>
      <c r="F11" s="223" t="n">
        <v>46206</v>
      </c>
      <c r="G11" s="224" t="inlineStr">
        <is>
          <t>Refusé</t>
        </is>
      </c>
      <c r="H11" s="222" t="n"/>
      <c r="I11" s="224" t="n"/>
      <c r="J11" s="222" t="n">
        <v>3600</v>
      </c>
      <c r="K11" s="224" t="inlineStr">
        <is>
          <t>Offre postulée</t>
        </is>
      </c>
      <c r="L11" s="225" t="inlineStr">
        <is>
          <t>Add link here</t>
        </is>
      </c>
      <c r="M11" s="224" t="n"/>
      <c r="N11" s="196">
        <f>IF($F11="","",TODAY()-$F11)</f>
        <v/>
      </c>
      <c r="O11" s="196">
        <f>IF($F11="","",IF($G11="Entretien","Suivre de près",IF($G11="Offre","Clôturé - Offre",IF($G11="Refusé","Clôturé",IF(AND($G11="Candidature envoyée",(TODAY()-$F11)&gt;14),"A relancer","En cours")))))</f>
        <v/>
      </c>
      <c r="P11" s="163">
        <f>IF($O11="A relancer",COUNTIF($O$6:$O11,"A relancer"),"")</f>
        <v/>
      </c>
      <c r="Q11" s="196">
        <f>IF($F11="","",WEEKNUM($F11,2))</f>
        <v/>
      </c>
      <c r="R11" s="196">
        <f>IF($F11="","",IF($G11="Offre",100,IF($G11="Entretien",90,IF($G11="Refusé",0,MIN(70,20+($N11*2)+IF($I11&lt;&gt;"",10,0)+IF($J11&lt;&gt;"",5,0))))))</f>
        <v/>
      </c>
      <c r="S11" s="169">
        <f>IF($I11&lt;&gt;"",MAX($S$5:$S10)+1,"")</f>
        <v/>
      </c>
      <c r="T11" s="196">
        <f>IF($C11="","",IF(COUNTIF($C$6:$C11,$C11)&gt;1,"Doublon possible",""))</f>
        <v/>
      </c>
      <c r="U11" s="163">
        <f>IF($G11="Entretien",COUNTIF($G$6:$G11,"Entretien"),"")</f>
        <v/>
      </c>
      <c r="W11" s="226">
        <f>IF($E11="","",IF(COUNTIF($E$6:$E11,$E11)=1,MAX($W$5:W10)+1,""))</f>
        <v/>
      </c>
    </row>
    <row r="12" ht="15" customHeight="1" s="164">
      <c r="B12" s="216" t="n">
        <v>7</v>
      </c>
      <c r="C12" s="217" t="inlineStr">
        <is>
          <t>BioNova Labs</t>
        </is>
      </c>
      <c r="D12" s="217" t="inlineStr">
        <is>
          <t>Operations Coordinator</t>
        </is>
      </c>
      <c r="E12" s="217" t="inlineStr">
        <is>
          <t>Lakeside</t>
        </is>
      </c>
      <c r="F12" s="218" t="n">
        <v>46206</v>
      </c>
      <c r="G12" s="219" t="inlineStr">
        <is>
          <t>Refusé</t>
        </is>
      </c>
      <c r="H12" s="217" t="inlineStr">
        <is>
          <t>LinkedIn</t>
        </is>
      </c>
      <c r="I12" s="219" t="inlineStr">
        <is>
          <t>Nadia Osei</t>
        </is>
      </c>
      <c r="J12" s="217" t="n"/>
      <c r="K12" s="219" t="inlineStr">
        <is>
          <t>Offre postulée</t>
        </is>
      </c>
      <c r="L12" s="217" t="n"/>
      <c r="M12" s="219" t="n"/>
      <c r="N12" s="196">
        <f>IF($F12="","",TODAY()-$F12)</f>
        <v/>
      </c>
      <c r="O12" s="196">
        <f>IF($F12="","",IF($G12="Entretien","Suivre de près",IF($G12="Offre","Clôturé - Offre",IF($G12="Refusé","Clôturé",IF(AND($G12="Candidature envoyée",(TODAY()-$F12)&gt;14),"A relancer","En cours")))))</f>
        <v/>
      </c>
      <c r="P12" s="163">
        <f>IF($O12="A relancer",COUNTIF($O$6:$O12,"A relancer"),"")</f>
        <v/>
      </c>
      <c r="Q12" s="196">
        <f>IF($F12="","",WEEKNUM($F12,2))</f>
        <v/>
      </c>
      <c r="R12" s="196">
        <f>IF($F12="","",IF($G12="Offre",100,IF($G12="Entretien",90,IF($G12="Refusé",0,MIN(70,20+($N12*2)+IF($I12&lt;&gt;"",10,0)+IF($J12&lt;&gt;"",5,0))))))</f>
        <v/>
      </c>
      <c r="S12" s="169">
        <f>IF($I12&lt;&gt;"",MAX($S$5:$S11)+1,"")</f>
        <v/>
      </c>
      <c r="T12" s="196">
        <f>IF($C12="","",IF(COUNTIF($C$6:$C12,$C12)&gt;1,"Doublon possible",""))</f>
        <v/>
      </c>
      <c r="U12" s="163">
        <f>IF($G12="Entretien",COUNTIF($G$6:$G12,"Entretien"),"")</f>
        <v/>
      </c>
      <c r="W12" s="226">
        <f>IF($E12="","",IF(COUNTIF($E$6:$E12,$E12)=1,MAX($W$5:W11)+1,""))</f>
        <v/>
      </c>
    </row>
    <row r="13" ht="23.25" customHeight="1" s="164">
      <c r="B13" s="221" t="n">
        <v>8</v>
      </c>
      <c r="C13" s="222" t="inlineStr">
        <is>
          <t>Larkspur Retail Co.</t>
        </is>
      </c>
      <c r="D13" s="222" t="inlineStr">
        <is>
          <t>Sales Associate (Temporary position)
Req ID: 44210</t>
        </is>
      </c>
      <c r="E13" s="222" t="inlineStr">
        <is>
          <t>Lakeside</t>
        </is>
      </c>
      <c r="F13" s="223" t="n">
        <v>46206</v>
      </c>
      <c r="G13" s="224" t="inlineStr">
        <is>
          <t>Candidature envoyée</t>
        </is>
      </c>
      <c r="H13" s="222" t="n"/>
      <c r="I13" s="224" t="n"/>
      <c r="J13" s="222" t="n"/>
      <c r="K13" s="224" t="inlineStr">
        <is>
          <t>Offre postulée</t>
        </is>
      </c>
      <c r="L13" s="225" t="inlineStr">
        <is>
          <t>Add link here</t>
        </is>
      </c>
      <c r="M13" s="224" t="n"/>
      <c r="N13" s="196">
        <f>IF($F13="","",TODAY()-$F13)</f>
        <v/>
      </c>
      <c r="O13" s="196">
        <f>IF($F13="","",IF($G13="Entretien","Suivre de près",IF($G13="Offre","Clôturé - Offre",IF($G13="Refusé","Clôturé",IF(AND($G13="Candidature envoyée",(TODAY()-$F13)&gt;14),"A relancer","En cours")))))</f>
        <v/>
      </c>
      <c r="P13" s="163">
        <f>IF($O13="A relancer",COUNTIF($O$6:$O13,"A relancer"),"")</f>
        <v/>
      </c>
      <c r="Q13" s="196">
        <f>IF($F13="","",WEEKNUM($F13,2))</f>
        <v/>
      </c>
      <c r="R13" s="196">
        <f>IF($F13="","",IF($G13="Offre",100,IF($G13="Entretien",90,IF($G13="Refusé",0,MIN(70,20+($N13*2)+IF($I13&lt;&gt;"",10,0)+IF($J13&lt;&gt;"",5,0))))))</f>
        <v/>
      </c>
      <c r="S13" s="169">
        <f>IF($I13&lt;&gt;"",MAX($S$5:$S12)+1,"")</f>
        <v/>
      </c>
      <c r="T13" s="196">
        <f>IF($C13="","",IF(COUNTIF($C$6:$C13,$C13)&gt;1,"Doublon possible",""))</f>
        <v/>
      </c>
      <c r="U13" s="163">
        <f>IF($G13="Entretien",COUNTIF($G$6:$G13,"Entretien"),"")</f>
        <v/>
      </c>
      <c r="W13" s="226">
        <f>IF($E13="","",IF(COUNTIF($E$6:$E13,$E13)=1,MAX($W$5:W12)+1,""))</f>
        <v/>
      </c>
    </row>
    <row r="14" ht="23.25" customHeight="1" s="164">
      <c r="B14" s="216" t="n">
        <v>9</v>
      </c>
      <c r="C14" s="217" t="inlineStr">
        <is>
          <t>ClearPath Consulting</t>
        </is>
      </c>
      <c r="D14" s="217" t="inlineStr">
        <is>
          <t>Business Analyst Intern</t>
        </is>
      </c>
      <c r="E14" s="217" t="inlineStr">
        <is>
          <t>Fairview, North District</t>
        </is>
      </c>
      <c r="F14" s="218" t="n">
        <v>46206</v>
      </c>
      <c r="G14" s="219" t="inlineStr">
        <is>
          <t>Refusé</t>
        </is>
      </c>
      <c r="H14" s="217" t="inlineStr">
        <is>
          <t>LinkedIn</t>
        </is>
      </c>
      <c r="I14" s="219" t="inlineStr">
        <is>
          <t>Grace Holloway</t>
        </is>
      </c>
      <c r="J14" s="217" t="n"/>
      <c r="K14" s="219" t="inlineStr">
        <is>
          <t>Offre postulée</t>
        </is>
      </c>
      <c r="L14" s="220" t="inlineStr">
        <is>
          <t>Add link here</t>
        </is>
      </c>
      <c r="M14" s="219" t="n"/>
      <c r="N14" s="196">
        <f>IF($F14="","",TODAY()-$F14)</f>
        <v/>
      </c>
      <c r="O14" s="196">
        <f>IF($F14="","",IF($G14="Entretien","Suivre de près",IF($G14="Offre","Clôturé - Offre",IF($G14="Refusé","Clôturé",IF(AND($G14="Candidature envoyée",(TODAY()-$F14)&gt;14),"A relancer","En cours")))))</f>
        <v/>
      </c>
      <c r="P14" s="163">
        <f>IF($O14="A relancer",COUNTIF($O$6:$O14,"A relancer"),"")</f>
        <v/>
      </c>
      <c r="Q14" s="196">
        <f>IF($F14="","",WEEKNUM($F14,2))</f>
        <v/>
      </c>
      <c r="R14" s="196">
        <f>IF($F14="","",IF($G14="Offre",100,IF($G14="Entretien",90,IF($G14="Refusé",0,MIN(70,20+($N14*2)+IF($I14&lt;&gt;"",10,0)+IF($J14&lt;&gt;"",5,0))))))</f>
        <v/>
      </c>
      <c r="S14" s="169">
        <f>IF($I14&lt;&gt;"",MAX($S$5:$S13)+1,"")</f>
        <v/>
      </c>
      <c r="T14" s="196">
        <f>IF($C14="","",IF(COUNTIF($C$6:$C14,$C14)&gt;1,"Doublon possible",""))</f>
        <v/>
      </c>
      <c r="U14" s="163">
        <f>IF($G14="Entretien",COUNTIF($G$6:$G14,"Entretien"),"")</f>
        <v/>
      </c>
      <c r="W14" s="226">
        <f>IF($E14="","",IF(COUNTIF($E$6:$E14,$E14)=1,MAX($W$5:W13)+1,""))</f>
        <v/>
      </c>
    </row>
    <row r="15" ht="15" customHeight="1" s="164">
      <c r="B15" s="221" t="n">
        <v>10</v>
      </c>
      <c r="C15" s="222" t="inlineStr">
        <is>
          <t>Innotech Dental Supplies</t>
        </is>
      </c>
      <c r="D15" s="222" t="inlineStr">
        <is>
          <t>Supply Chain Assistant</t>
        </is>
      </c>
      <c r="E15" s="222" t="inlineStr">
        <is>
          <t>Fairview</t>
        </is>
      </c>
      <c r="F15" s="223" t="n">
        <v>46206</v>
      </c>
      <c r="G15" s="224" t="inlineStr">
        <is>
          <t>Refusé</t>
        </is>
      </c>
      <c r="H15" s="222" t="n"/>
      <c r="I15" s="224" t="n"/>
      <c r="J15" s="222" t="n"/>
      <c r="K15" s="224" t="inlineStr">
        <is>
          <t>Offre postulée</t>
        </is>
      </c>
      <c r="L15" s="225" t="inlineStr">
        <is>
          <t>Add link here</t>
        </is>
      </c>
      <c r="M15" s="224" t="n"/>
      <c r="N15" s="196">
        <f>IF($F15="","",TODAY()-$F15)</f>
        <v/>
      </c>
      <c r="O15" s="196">
        <f>IF($F15="","",IF($G15="Entretien","Suivre de près",IF($G15="Offre","Clôturé - Offre",IF($G15="Refusé","Clôturé",IF(AND($G15="Candidature envoyée",(TODAY()-$F15)&gt;14),"A relancer","En cours")))))</f>
        <v/>
      </c>
      <c r="P15" s="163">
        <f>IF($O15="A relancer",COUNTIF($O$6:$O15,"A relancer"),"")</f>
        <v/>
      </c>
      <c r="Q15" s="196">
        <f>IF($F15="","",WEEKNUM($F15,2))</f>
        <v/>
      </c>
      <c r="R15" s="196">
        <f>IF($F15="","",IF($G15="Offre",100,IF($G15="Entretien",90,IF($G15="Refusé",0,MIN(70,20+($N15*2)+IF($I15&lt;&gt;"",10,0)+IF($J15&lt;&gt;"",5,0))))))</f>
        <v/>
      </c>
      <c r="S15" s="169">
        <f>IF($I15&lt;&gt;"",MAX($S$5:$S14)+1,"")</f>
        <v/>
      </c>
      <c r="T15" s="196">
        <f>IF($C15="","",IF(COUNTIF($C$6:$C15,$C15)&gt;1,"Doublon possible",""))</f>
        <v/>
      </c>
      <c r="U15" s="163">
        <f>IF($G15="Entretien",COUNTIF($G$6:$G15,"Entretien"),"")</f>
        <v/>
      </c>
      <c r="W15" s="226">
        <f>IF($E15="","",IF(COUNTIF($E$6:$E15,$E15)=1,MAX($W$5:W14)+1,""))</f>
        <v/>
      </c>
    </row>
    <row r="16" ht="15" customHeight="1" s="164">
      <c r="B16" s="216" t="n">
        <v>11</v>
      </c>
      <c r="C16" s="217" t="inlineStr">
        <is>
          <t>Vireo Manufacturing Corp</t>
        </is>
      </c>
      <c r="D16" s="217" t="inlineStr">
        <is>
          <t>Production Coordinator</t>
        </is>
      </c>
      <c r="E16" s="217" t="inlineStr">
        <is>
          <t>Cedarport</t>
        </is>
      </c>
      <c r="F16" s="218" t="n">
        <v>46207</v>
      </c>
      <c r="G16" s="219" t="inlineStr">
        <is>
          <t>Candidature envoyée</t>
        </is>
      </c>
      <c r="H16" s="217" t="inlineStr">
        <is>
          <t>LinkedIn</t>
        </is>
      </c>
      <c r="I16" s="219" t="n"/>
      <c r="J16" s="217" t="n"/>
      <c r="K16" s="219" t="inlineStr">
        <is>
          <t>Offre postulée</t>
        </is>
      </c>
      <c r="L16" s="220" t="inlineStr">
        <is>
          <t>Add link here</t>
        </is>
      </c>
      <c r="M16" s="219" t="n"/>
      <c r="N16" s="196">
        <f>IF($F16="","",TODAY()-$F16)</f>
        <v/>
      </c>
      <c r="O16" s="196">
        <f>IF($F16="","",IF($G16="Entretien","Suivre de près",IF($G16="Offre","Clôturé - Offre",IF($G16="Refusé","Clôturé",IF(AND($G16="Candidature envoyée",(TODAY()-$F16)&gt;14),"A relancer","En cours")))))</f>
        <v/>
      </c>
      <c r="P16" s="163">
        <f>IF($O16="A relancer",COUNTIF($O$6:$O16,"A relancer"),"")</f>
        <v/>
      </c>
      <c r="Q16" s="196">
        <f>IF($F16="","",WEEKNUM($F16,2))</f>
        <v/>
      </c>
      <c r="R16" s="196">
        <f>IF($F16="","",IF($G16="Offre",100,IF($G16="Entretien",90,IF($G16="Refusé",0,MIN(70,20+($N16*2)+IF($I16&lt;&gt;"",10,0)+IF($J16&lt;&gt;"",5,0))))))</f>
        <v/>
      </c>
      <c r="S16" s="169">
        <f>IF($I16&lt;&gt;"",MAX($S$5:$S15)+1,"")</f>
        <v/>
      </c>
      <c r="T16" s="196">
        <f>IF($C16="","",IF(COUNTIF($C$6:$C16,$C16)&gt;1,"Doublon possible",""))</f>
        <v/>
      </c>
      <c r="U16" s="163">
        <f>IF($G16="Entretien",COUNTIF($G$6:$G16,"Entretien"),"")</f>
        <v/>
      </c>
      <c r="W16" s="226">
        <f>IF($E16="","",IF(COUNTIF($E$6:$E16,$E16)=1,MAX($W$5:W15)+1,""))</f>
        <v/>
      </c>
    </row>
    <row r="17" ht="15" customHeight="1" s="164">
      <c r="B17" s="221" t="n">
        <v>12</v>
      </c>
      <c r="C17" s="222" t="inlineStr">
        <is>
          <t>Kestrel Retail Group</t>
        </is>
      </c>
      <c r="D17" s="222" t="inlineStr">
        <is>
          <t>Inventory Analyst</t>
        </is>
      </c>
      <c r="E17" s="222" t="inlineStr">
        <is>
          <t>Meadowbrook</t>
        </is>
      </c>
      <c r="F17" s="223" t="n">
        <v>46207</v>
      </c>
      <c r="G17" s="224" t="inlineStr">
        <is>
          <t>Refusé</t>
        </is>
      </c>
      <c r="H17" s="222" t="inlineStr">
        <is>
          <t>Facebook + Website</t>
        </is>
      </c>
      <c r="I17" s="224" t="inlineStr">
        <is>
          <t>Maxim Cardoso</t>
        </is>
      </c>
      <c r="J17" s="222" t="n"/>
      <c r="K17" s="224" t="inlineStr">
        <is>
          <t>Offre postulée</t>
        </is>
      </c>
      <c r="L17" s="222" t="n"/>
      <c r="M17" s="224" t="n"/>
      <c r="N17" s="196">
        <f>IF($F17="","",TODAY()-$F17)</f>
        <v/>
      </c>
      <c r="O17" s="196">
        <f>IF($F17="","",IF($G17="Entretien","Suivre de près",IF($G17="Offre","Clôturé - Offre",IF($G17="Refusé","Clôturé",IF(AND($G17="Candidature envoyée",(TODAY()-$F17)&gt;14),"A relancer","En cours")))))</f>
        <v/>
      </c>
      <c r="P17" s="163">
        <f>IF($O17="A relancer",COUNTIF($O$6:$O17,"A relancer"),"")</f>
        <v/>
      </c>
      <c r="Q17" s="196">
        <f>IF($F17="","",WEEKNUM($F17,2))</f>
        <v/>
      </c>
      <c r="R17" s="196">
        <f>IF($F17="","",IF($G17="Offre",100,IF($G17="Entretien",90,IF($G17="Refusé",0,MIN(70,20+($N17*2)+IF($I17&lt;&gt;"",10,0)+IF($J17&lt;&gt;"",5,0))))))</f>
        <v/>
      </c>
      <c r="S17" s="169">
        <f>IF($I17&lt;&gt;"",MAX($S$5:$S16)+1,"")</f>
        <v/>
      </c>
      <c r="T17" s="196">
        <f>IF($C17="","",IF(COUNTIF($C$6:$C17,$C17)&gt;1,"Doublon possible",""))</f>
        <v/>
      </c>
      <c r="U17" s="163">
        <f>IF($G17="Entretien",COUNTIF($G$6:$G17,"Entretien"),"")</f>
        <v/>
      </c>
      <c r="W17" s="226">
        <f>IF($E17="","",IF(COUNTIF($E$6:$E17,$E17)=1,MAX($W$5:W16)+1,""))</f>
        <v/>
      </c>
    </row>
    <row r="18" ht="15" customHeight="1" s="164">
      <c r="B18" s="216" t="n">
        <v>13</v>
      </c>
      <c r="C18" s="217" t="inlineStr">
        <is>
          <t>NimbusTech Solutions</t>
        </is>
      </c>
      <c r="D18" s="217" t="inlineStr">
        <is>
          <t>Junior Product Tester</t>
        </is>
      </c>
      <c r="E18" s="217" t="inlineStr">
        <is>
          <t>Ashborough</t>
        </is>
      </c>
      <c r="F18" s="218" t="n">
        <v>46207</v>
      </c>
      <c r="G18" s="219" t="inlineStr">
        <is>
          <t>Refusé</t>
        </is>
      </c>
      <c r="H18" s="217" t="n"/>
      <c r="I18" s="219" t="n"/>
      <c r="J18" s="217" t="n"/>
      <c r="K18" s="219" t="inlineStr">
        <is>
          <t>Offre postulée</t>
        </is>
      </c>
      <c r="L18" s="220" t="inlineStr">
        <is>
          <t>Add link here</t>
        </is>
      </c>
      <c r="M18" s="219" t="n"/>
      <c r="N18" s="196">
        <f>IF($F18="","",TODAY()-$F18)</f>
        <v/>
      </c>
      <c r="O18" s="196">
        <f>IF($F18="","",IF($G18="Entretien","Suivre de près",IF($G18="Offre","Clôturé - Offre",IF($G18="Refusé","Clôturé",IF(AND($G18="Candidature envoyée",(TODAY()-$F18)&gt;14),"A relancer","En cours")))))</f>
        <v/>
      </c>
      <c r="P18" s="163">
        <f>IF($O18="A relancer",COUNTIF($O$6:$O18,"A relancer"),"")</f>
        <v/>
      </c>
      <c r="Q18" s="196">
        <f>IF($F18="","",WEEKNUM($F18,2))</f>
        <v/>
      </c>
      <c r="R18" s="196">
        <f>IF($F18="","",IF($G18="Offre",100,IF($G18="Entretien",90,IF($G18="Refusé",0,MIN(70,20+($N18*2)+IF($I18&lt;&gt;"",10,0)+IF($J18&lt;&gt;"",5,0))))))</f>
        <v/>
      </c>
      <c r="S18" s="169">
        <f>IF($I18&lt;&gt;"",MAX($S$5:$S17)+1,"")</f>
        <v/>
      </c>
      <c r="T18" s="196">
        <f>IF($C18="","",IF(COUNTIF($C$6:$C18,$C18)&gt;1,"Doublon possible",""))</f>
        <v/>
      </c>
      <c r="U18" s="163">
        <f>IF($G18="Entretien",COUNTIF($G$6:$G18,"Entretien"),"")</f>
        <v/>
      </c>
      <c r="W18" s="226">
        <f>IF($E18="","",IF(COUNTIF($E$6:$E18,$E18)=1,MAX($W$5:W17)+1,""))</f>
        <v/>
      </c>
    </row>
    <row r="19" ht="23.25" customHeight="1" s="164">
      <c r="B19" s="221" t="n">
        <v>14</v>
      </c>
      <c r="C19" s="222" t="inlineStr">
        <is>
          <t>Solara Wellness</t>
        </is>
      </c>
      <c r="D19" s="222" t="inlineStr">
        <is>
          <t>Marketing Assistant (Spontaneous Application)</t>
        </is>
      </c>
      <c r="E19" s="222" t="inlineStr">
        <is>
          <t>Fairview</t>
        </is>
      </c>
      <c r="F19" s="223" t="n">
        <v>46207</v>
      </c>
      <c r="G19" s="224" t="inlineStr">
        <is>
          <t>Candidature envoyée</t>
        </is>
      </c>
      <c r="H19" s="222" t="inlineStr">
        <is>
          <t>Via email to HR &amp; Neta</t>
        </is>
      </c>
      <c r="I19" s="222" t="inlineStr">
        <is>
          <t>Neta Ibarra
Michelle Ferman, HR</t>
        </is>
      </c>
      <c r="J19" s="222" t="n"/>
      <c r="K19" s="224" t="n"/>
      <c r="L19" s="222" t="n"/>
      <c r="M19" s="224" t="n"/>
      <c r="N19" s="196">
        <f>IF($F19="","",TODAY()-$F19)</f>
        <v/>
      </c>
      <c r="O19" s="196">
        <f>IF($F19="","",IF($G19="Entretien","Suivre de près",IF($G19="Offre","Clôturé - Offre",IF($G19="Refusé","Clôturé",IF(AND($G19="Candidature envoyée",(TODAY()-$F19)&gt;14),"A relancer","En cours")))))</f>
        <v/>
      </c>
      <c r="P19" s="163">
        <f>IF($O19="A relancer",COUNTIF($O$6:$O19,"A relancer"),"")</f>
        <v/>
      </c>
      <c r="Q19" s="196">
        <f>IF($F19="","",WEEKNUM($F19,2))</f>
        <v/>
      </c>
      <c r="R19" s="196">
        <f>IF($F19="","",IF($G19="Offre",100,IF($G19="Entretien",90,IF($G19="Refusé",0,MIN(70,20+($N19*2)+IF($I19&lt;&gt;"",10,0)+IF($J19&lt;&gt;"",5,0))))))</f>
        <v/>
      </c>
      <c r="S19" s="169">
        <f>IF($I19&lt;&gt;"",MAX($S$5:$S18)+1,"")</f>
        <v/>
      </c>
      <c r="T19" s="196">
        <f>IF($C19="","",IF(COUNTIF($C$6:$C19,$C19)&gt;1,"Doublon possible",""))</f>
        <v/>
      </c>
      <c r="U19" s="163">
        <f>IF($G19="Entretien",COUNTIF($G$6:$G19,"Entretien"),"")</f>
        <v/>
      </c>
      <c r="W19" s="226">
        <f>IF($E19="","",IF(COUNTIF($E$6:$E19,$E19)=1,MAX($W$5:W18)+1,""))</f>
        <v/>
      </c>
    </row>
    <row r="20" ht="21.75" customHeight="1" s="164">
      <c r="B20" s="216" t="n">
        <v>15</v>
      </c>
      <c r="C20" s="217" t="inlineStr">
        <is>
          <t>Bright Horizon Staffing</t>
        </is>
      </c>
      <c r="D20" s="217" t="inlineStr">
        <is>
          <t>Administrative Coordinator</t>
        </is>
      </c>
      <c r="E20" s="217" t="inlineStr">
        <is>
          <t>Northgate</t>
        </is>
      </c>
      <c r="F20" s="218" t="n">
        <v>46207</v>
      </c>
      <c r="G20" s="219" t="inlineStr">
        <is>
          <t>Refusé</t>
        </is>
      </c>
      <c r="H20" s="217" t="inlineStr">
        <is>
          <t>LinkedIn</t>
        </is>
      </c>
      <c r="I20" s="219" t="inlineStr">
        <is>
          <t>Iris Bellamy</t>
        </is>
      </c>
      <c r="J20" s="217" t="n"/>
      <c r="K20" s="219" t="inlineStr">
        <is>
          <t>Offre postulée, Message LinkedIn envoyé</t>
        </is>
      </c>
      <c r="L20" s="217" t="n"/>
      <c r="M20" s="219" t="n"/>
      <c r="N20" s="196">
        <f>IF($F20="","",TODAY()-$F20)</f>
        <v/>
      </c>
      <c r="O20" s="196">
        <f>IF($F20="","",IF($G20="Entretien","Suivre de près",IF($G20="Offre","Clôturé - Offre",IF($G20="Refusé","Clôturé",IF(AND($G20="Candidature envoyée",(TODAY()-$F20)&gt;14),"A relancer","En cours")))))</f>
        <v/>
      </c>
      <c r="P20" s="163">
        <f>IF($O20="A relancer",COUNTIF($O$6:$O20,"A relancer"),"")</f>
        <v/>
      </c>
      <c r="Q20" s="196">
        <f>IF($F20="","",WEEKNUM($F20,2))</f>
        <v/>
      </c>
      <c r="R20" s="196">
        <f>IF($F20="","",IF($G20="Offre",100,IF($G20="Entretien",90,IF($G20="Refusé",0,MIN(70,20+($N20*2)+IF($I20&lt;&gt;"",10,0)+IF($J20&lt;&gt;"",5,0))))))</f>
        <v/>
      </c>
      <c r="S20" s="169">
        <f>IF($I20&lt;&gt;"",MAX($S$5:$S19)+1,"")</f>
        <v/>
      </c>
      <c r="T20" s="196">
        <f>IF($C20="","",IF(COUNTIF($C$6:$C20,$C20)&gt;1,"Doublon possible",""))</f>
        <v/>
      </c>
      <c r="U20" s="163">
        <f>IF($G20="Entretien",COUNTIF($G$6:$G20,"Entretien"),"")</f>
        <v/>
      </c>
      <c r="W20" s="226">
        <f>IF($E20="","",IF(COUNTIF($E$6:$E20,$E20)=1,MAX($W$5:W19)+1,""))</f>
        <v/>
      </c>
    </row>
    <row r="21" ht="15" customHeight="1" s="164">
      <c r="B21" s="221" t="n">
        <v>16</v>
      </c>
      <c r="C21" s="222" t="inlineStr">
        <is>
          <t>Ashgrove Consumer Goods</t>
        </is>
      </c>
      <c r="D21" s="222" t="inlineStr">
        <is>
          <t>Junior Category Analyst</t>
        </is>
      </c>
      <c r="E21" s="222" t="inlineStr">
        <is>
          <t>Lakeside</t>
        </is>
      </c>
      <c r="F21" s="223" t="n">
        <v>46207</v>
      </c>
      <c r="G21" s="224" t="inlineStr">
        <is>
          <t>Candidature envoyée</t>
        </is>
      </c>
      <c r="H21" s="222" t="n"/>
      <c r="I21" s="224" t="n"/>
      <c r="J21" s="222" t="n"/>
      <c r="K21" s="224" t="inlineStr">
        <is>
          <t>Offre postulée</t>
        </is>
      </c>
      <c r="L21" s="225" t="inlineStr">
        <is>
          <t>Add link here</t>
        </is>
      </c>
      <c r="M21" s="224" t="n"/>
      <c r="N21" s="196">
        <f>IF($F21="","",TODAY()-$F21)</f>
        <v/>
      </c>
      <c r="O21" s="196">
        <f>IF($F21="","",IF($G21="Entretien","Suivre de près",IF($G21="Offre","Clôturé - Offre",IF($G21="Refusé","Clôturé",IF(AND($G21="Candidature envoyée",(TODAY()-$F21)&gt;14),"A relancer","En cours")))))</f>
        <v/>
      </c>
      <c r="P21" s="163">
        <f>IF($O21="A relancer",COUNTIF($O$6:$O21,"A relancer"),"")</f>
        <v/>
      </c>
      <c r="Q21" s="196">
        <f>IF($F21="","",WEEKNUM($F21,2))</f>
        <v/>
      </c>
      <c r="R21" s="196">
        <f>IF($F21="","",IF($G21="Offre",100,IF($G21="Entretien",90,IF($G21="Refusé",0,MIN(70,20+($N21*2)+IF($I21&lt;&gt;"",10,0)+IF($J21&lt;&gt;"",5,0))))))</f>
        <v/>
      </c>
      <c r="S21" s="169">
        <f>IF($I21&lt;&gt;"",MAX($S$5:$S20)+1,"")</f>
        <v/>
      </c>
      <c r="T21" s="196">
        <f>IF($C21="","",IF(COUNTIF($C$6:$C21,$C21)&gt;1,"Doublon possible",""))</f>
        <v/>
      </c>
      <c r="U21" s="163">
        <f>IF($G21="Entretien",COUNTIF($G$6:$G21,"Entretien"),"")</f>
        <v/>
      </c>
      <c r="W21" s="226">
        <f>IF($E21="","",IF(COUNTIF($E$6:$E21,$E21)=1,MAX($W$5:W20)+1,""))</f>
        <v/>
      </c>
    </row>
    <row r="22" ht="30" customHeight="1" s="164">
      <c r="B22" s="216" t="n">
        <v>17</v>
      </c>
      <c r="C22" s="217" t="inlineStr">
        <is>
          <t>Ashgrove Consumer Goods</t>
        </is>
      </c>
      <c r="D22" s="227" t="inlineStr">
        <is>
          <t>Category Insights Analyst position</t>
        </is>
      </c>
      <c r="E22" s="217" t="inlineStr">
        <is>
          <t>Lakeside</t>
        </is>
      </c>
      <c r="F22" s="218" t="n">
        <v>46207</v>
      </c>
      <c r="G22" s="219" t="inlineStr">
        <is>
          <t>Candidature envoyée</t>
        </is>
      </c>
      <c r="H22" s="217" t="n"/>
      <c r="I22" s="219" t="n"/>
      <c r="J22" s="217" t="n"/>
      <c r="K22" s="219" t="inlineStr">
        <is>
          <t>Offre postulée</t>
        </is>
      </c>
      <c r="L22" s="220" t="inlineStr">
        <is>
          <t>Add link here</t>
        </is>
      </c>
      <c r="M22" s="219" t="n"/>
      <c r="N22" s="196">
        <f>IF($F22="","",TODAY()-$F22)</f>
        <v/>
      </c>
      <c r="O22" s="196">
        <f>IF($F22="","",IF($G22="Entretien","Suivre de près",IF($G22="Offre","Clôturé - Offre",IF($G22="Refusé","Clôturé",IF(AND($G22="Candidature envoyée",(TODAY()-$F22)&gt;14),"A relancer","En cours")))))</f>
        <v/>
      </c>
      <c r="P22" s="163">
        <f>IF($O22="A relancer",COUNTIF($O$6:$O22,"A relancer"),"")</f>
        <v/>
      </c>
      <c r="Q22" s="196">
        <f>IF($F22="","",WEEKNUM($F22,2))</f>
        <v/>
      </c>
      <c r="R22" s="196">
        <f>IF($F22="","",IF($G22="Offre",100,IF($G22="Entretien",90,IF($G22="Refusé",0,MIN(70,20+($N22*2)+IF($I22&lt;&gt;"",10,0)+IF($J22&lt;&gt;"",5,0))))))</f>
        <v/>
      </c>
      <c r="S22" s="169">
        <f>IF($I22&lt;&gt;"",MAX($S$5:$S21)+1,"")</f>
        <v/>
      </c>
      <c r="T22" s="196">
        <f>IF($C22="","",IF(COUNTIF($C$6:$C22,$C22)&gt;1,"Doublon possible",""))</f>
        <v/>
      </c>
      <c r="U22" s="163">
        <f>IF($G22="Entretien",COUNTIF($G$6:$G22,"Entretien"),"")</f>
        <v/>
      </c>
      <c r="W22" s="226">
        <f>IF($E22="","",IF(COUNTIF($E$6:$E22,$E22)=1,MAX($W$5:W21)+1,""))</f>
        <v/>
      </c>
    </row>
    <row r="23" ht="57" customHeight="1" s="164">
      <c r="B23" s="221" t="n">
        <v>18</v>
      </c>
      <c r="C23" s="222" t="inlineStr">
        <is>
          <t>Foothill Foods</t>
        </is>
      </c>
      <c r="D23" s="222" t="inlineStr">
        <is>
          <t>Marketing Technologist, Snacks Division</t>
        </is>
      </c>
      <c r="E23" s="222" t="inlineStr">
        <is>
          <t>Southbridge</t>
        </is>
      </c>
      <c r="F23" s="223" t="n">
        <v>46207</v>
      </c>
      <c r="G23" s="224" t="inlineStr">
        <is>
          <t>Candidature envoyée</t>
        </is>
      </c>
      <c r="H23" s="222" t="n"/>
      <c r="I23" s="222" t="inlineStr">
        <is>
          <t xml:space="preserve">Olivia Warner
Brand coordinator @ Foothill Foods
</t>
        </is>
      </c>
      <c r="J23" s="222" t="n"/>
      <c r="K23" s="224" t="inlineStr">
        <is>
          <t>Offre postulée, Message LinkedIn envoyé</t>
        </is>
      </c>
      <c r="L23" s="225" t="inlineStr">
        <is>
          <t>Add link here</t>
        </is>
      </c>
      <c r="M23" s="224" t="n"/>
      <c r="N23" s="196">
        <f>IF($F23="","",TODAY()-$F23)</f>
        <v/>
      </c>
      <c r="O23" s="196">
        <f>IF($F23="","",IF($G23="Entretien","Suivre de près",IF($G23="Offre","Clôturé - Offre",IF($G23="Refusé","Clôturé",IF(AND($G23="Candidature envoyée",(TODAY()-$F23)&gt;14),"A relancer","En cours")))))</f>
        <v/>
      </c>
      <c r="P23" s="163">
        <f>IF($O23="A relancer",COUNTIF($O$6:$O23,"A relancer"),"")</f>
        <v/>
      </c>
      <c r="Q23" s="196">
        <f>IF($F23="","",WEEKNUM($F23,2))</f>
        <v/>
      </c>
      <c r="R23" s="196">
        <f>IF($F23="","",IF($G23="Offre",100,IF($G23="Entretien",90,IF($G23="Refusé",0,MIN(70,20+($N23*2)+IF($I23&lt;&gt;"",10,0)+IF($J23&lt;&gt;"",5,0))))))</f>
        <v/>
      </c>
      <c r="S23" s="169">
        <f>IF($I23&lt;&gt;"",MAX($S$5:$S22)+1,"")</f>
        <v/>
      </c>
      <c r="T23" s="196">
        <f>IF($C23="","",IF(COUNTIF($C$6:$C23,$C23)&gt;1,"Doublon possible",""))</f>
        <v/>
      </c>
      <c r="U23" s="163">
        <f>IF($G23="Entretien",COUNTIF($G$6:$G23,"Entretien"),"")</f>
        <v/>
      </c>
      <c r="W23" s="226">
        <f>IF($E23="","",IF(COUNTIF($E$6:$E23,$E23)=1,MAX($W$5:W22)+1,""))</f>
        <v/>
      </c>
    </row>
    <row r="24" ht="15" customHeight="1" s="164">
      <c r="B24" s="216" t="n">
        <v>19</v>
      </c>
      <c r="C24" s="217" t="inlineStr">
        <is>
          <t>Kiln &amp; Co Print Studio</t>
        </is>
      </c>
      <c r="D24" s="217" t="inlineStr">
        <is>
          <t>Studio Assistant</t>
        </is>
      </c>
      <c r="E24" s="217" t="inlineStr">
        <is>
          <t>Riverbend</t>
        </is>
      </c>
      <c r="F24" s="218" t="n">
        <v>46207</v>
      </c>
      <c r="G24" s="219" t="inlineStr">
        <is>
          <t>Refusé</t>
        </is>
      </c>
      <c r="H24" s="217" t="n"/>
      <c r="I24" s="219" t="n"/>
      <c r="J24" s="217" t="n"/>
      <c r="K24" s="219" t="inlineStr">
        <is>
          <t>Offre postulée</t>
        </is>
      </c>
      <c r="L24" s="220" t="inlineStr">
        <is>
          <t>Add link here</t>
        </is>
      </c>
      <c r="M24" s="219" t="n"/>
      <c r="N24" s="196">
        <f>IF($F24="","",TODAY()-$F24)</f>
        <v/>
      </c>
      <c r="O24" s="196">
        <f>IF($F24="","",IF($G24="Entretien","Suivre de près",IF($G24="Offre","Clôturé - Offre",IF($G24="Refusé","Clôturé",IF(AND($G24="Candidature envoyée",(TODAY()-$F24)&gt;14),"A relancer","En cours")))))</f>
        <v/>
      </c>
      <c r="P24" s="163">
        <f>IF($O24="A relancer",COUNTIF($O$6:$O24,"A relancer"),"")</f>
        <v/>
      </c>
      <c r="Q24" s="196">
        <f>IF($F24="","",WEEKNUM($F24,2))</f>
        <v/>
      </c>
      <c r="R24" s="196">
        <f>IF($F24="","",IF($G24="Offre",100,IF($G24="Entretien",90,IF($G24="Refusé",0,MIN(70,20+($N24*2)+IF($I24&lt;&gt;"",10,0)+IF($J24&lt;&gt;"",5,0))))))</f>
        <v/>
      </c>
      <c r="S24" s="169">
        <f>IF($I24&lt;&gt;"",MAX($S$5:$S23)+1,"")</f>
        <v/>
      </c>
      <c r="T24" s="196">
        <f>IF($C24="","",IF(COUNTIF($C$6:$C24,$C24)&gt;1,"Doublon possible",""))</f>
        <v/>
      </c>
      <c r="U24" s="163">
        <f>IF($G24="Entretien",COUNTIF($G$6:$G24,"Entretien"),"")</f>
        <v/>
      </c>
      <c r="W24" s="226">
        <f>IF($E24="","",IF(COUNTIF($E$6:$E24,$E24)=1,MAX($W$5:W23)+1,""))</f>
        <v/>
      </c>
    </row>
    <row r="25" ht="23.25" customHeight="1" s="164">
      <c r="B25" s="221" t="n">
        <v>20</v>
      </c>
      <c r="C25" s="222" t="inlineStr">
        <is>
          <t>Redstone Certification Body</t>
        </is>
      </c>
      <c r="D25" s="222" t="inlineStr">
        <is>
          <t>Junior Auditor - Client Accounts</t>
        </is>
      </c>
      <c r="E25" s="222" t="n"/>
      <c r="F25" s="223" t="n">
        <v>46207</v>
      </c>
      <c r="G25" s="224" t="inlineStr">
        <is>
          <t>Candidature envoyée</t>
        </is>
      </c>
      <c r="H25" s="222" t="inlineStr">
        <is>
          <t>LinkedIn</t>
        </is>
      </c>
      <c r="I25" s="224" t="n"/>
      <c r="J25" s="222" t="n">
        <v>4200</v>
      </c>
      <c r="K25" s="224" t="inlineStr">
        <is>
          <t>Offre postulée</t>
        </is>
      </c>
      <c r="L25" s="222" t="n"/>
      <c r="M25" s="224" t="n"/>
      <c r="N25" s="196">
        <f>IF($F25="","",TODAY()-$F25)</f>
        <v/>
      </c>
      <c r="O25" s="196">
        <f>IF($F25="","",IF($G25="Entretien","Suivre de près",IF($G25="Offre","Clôturé - Offre",IF($G25="Refusé","Clôturé",IF(AND($G25="Candidature envoyée",(TODAY()-$F25)&gt;14),"A relancer","En cours")))))</f>
        <v/>
      </c>
      <c r="P25" s="163">
        <f>IF($O25="A relancer",COUNTIF($O$6:$O25,"A relancer"),"")</f>
        <v/>
      </c>
      <c r="Q25" s="196">
        <f>IF($F25="","",WEEKNUM($F25,2))</f>
        <v/>
      </c>
      <c r="R25" s="196">
        <f>IF($F25="","",IF($G25="Offre",100,IF($G25="Entretien",90,IF($G25="Refusé",0,MIN(70,20+($N25*2)+IF($I25&lt;&gt;"",10,0)+IF($J25&lt;&gt;"",5,0))))))</f>
        <v/>
      </c>
      <c r="S25" s="169">
        <f>IF($I25&lt;&gt;"",MAX($S$5:$S24)+1,"")</f>
        <v/>
      </c>
      <c r="T25" s="196">
        <f>IF($C25="","",IF(COUNTIF($C$6:$C25,$C25)&gt;1,"Doublon possible",""))</f>
        <v/>
      </c>
      <c r="U25" s="163">
        <f>IF($G25="Entretien",COUNTIF($G$6:$G25,"Entretien"),"")</f>
        <v/>
      </c>
      <c r="W25" s="226">
        <f>IF($E25="","",IF(COUNTIF($E$6:$E25,$E25)=1,MAX($W$5:W24)+1,""))</f>
        <v/>
      </c>
    </row>
    <row r="26" ht="15" customHeight="1" s="164">
      <c r="B26" s="216" t="n">
        <v>21</v>
      </c>
      <c r="C26" s="217" t="inlineStr">
        <is>
          <t>Harmon Life Sciences</t>
        </is>
      </c>
      <c r="D26" s="217" t="inlineStr">
        <is>
          <t>Compliance Coordinator position</t>
        </is>
      </c>
      <c r="E26" s="217" t="inlineStr">
        <is>
          <t>Meadowbrook</t>
        </is>
      </c>
      <c r="F26" s="218" t="n">
        <v>46207</v>
      </c>
      <c r="G26" s="219" t="inlineStr">
        <is>
          <t>Candidature envoyée</t>
        </is>
      </c>
      <c r="H26" s="217" t="n"/>
      <c r="I26" s="219" t="n"/>
      <c r="J26" s="217" t="n">
        <v>3900</v>
      </c>
      <c r="K26" s="219" t="inlineStr">
        <is>
          <t>Offre postulée</t>
        </is>
      </c>
      <c r="L26" s="220" t="inlineStr">
        <is>
          <t>Add link here</t>
        </is>
      </c>
      <c r="M26" s="219" t="n"/>
      <c r="N26" s="196">
        <f>IF($F26="","",TODAY()-$F26)</f>
        <v/>
      </c>
      <c r="O26" s="196">
        <f>IF($F26="","",IF($G26="Entretien","Suivre de près",IF($G26="Offre","Clôturé - Offre",IF($G26="Refusé","Clôturé",IF(AND($G26="Candidature envoyée",(TODAY()-$F26)&gt;14),"A relancer","En cours")))))</f>
        <v/>
      </c>
      <c r="P26" s="163">
        <f>IF($O26="A relancer",COUNTIF($O$6:$O26,"A relancer"),"")</f>
        <v/>
      </c>
      <c r="Q26" s="196">
        <f>IF($F26="","",WEEKNUM($F26,2))</f>
        <v/>
      </c>
      <c r="R26" s="196">
        <f>IF($F26="","",IF($G26="Offre",100,IF($G26="Entretien",90,IF($G26="Refusé",0,MIN(70,20+($N26*2)+IF($I26&lt;&gt;"",10,0)+IF($J26&lt;&gt;"",5,0))))))</f>
        <v/>
      </c>
      <c r="S26" s="169">
        <f>IF($I26&lt;&gt;"",MAX($S$5:$S25)+1,"")</f>
        <v/>
      </c>
      <c r="T26" s="196">
        <f>IF($C26="","",IF(COUNTIF($C$6:$C26,$C26)&gt;1,"Doublon possible",""))</f>
        <v/>
      </c>
      <c r="U26" s="163">
        <f>IF($G26="Entretien",COUNTIF($G$6:$G26,"Entretien"),"")</f>
        <v/>
      </c>
      <c r="W26" s="226">
        <f>IF($E26="","",IF(COUNTIF($E$6:$E26,$E26)=1,MAX($W$5:W25)+1,""))</f>
        <v/>
      </c>
    </row>
    <row r="27" ht="59.25" customHeight="1" s="164">
      <c r="B27" s="221" t="n">
        <v>22</v>
      </c>
      <c r="C27" s="222" t="inlineStr">
        <is>
          <t>Priya Anand
Head of People Operations at Solenne Group</t>
        </is>
      </c>
      <c r="D27" s="222" t="inlineStr">
        <is>
          <t>Spontaneous Application</t>
        </is>
      </c>
      <c r="E27" s="222" t="inlineStr">
        <is>
          <t>Countryside</t>
        </is>
      </c>
      <c r="F27" s="223" t="n">
        <v>46209</v>
      </c>
      <c r="G27" s="224" t="inlineStr">
        <is>
          <t>Candidature envoyée</t>
        </is>
      </c>
      <c r="H27" s="222" t="inlineStr">
        <is>
          <t>LinkedIn</t>
        </is>
      </c>
      <c r="I27" s="224" t="inlineStr">
        <is>
          <t>Priya Anand</t>
        </is>
      </c>
      <c r="J27" s="222" t="n"/>
      <c r="K27" s="224" t="inlineStr">
        <is>
          <t>Candidature spontanée, Message LinkedIn envoyé</t>
        </is>
      </c>
      <c r="L27" s="225" t="inlineStr">
        <is>
          <t>Add link here</t>
        </is>
      </c>
      <c r="M27" s="224" t="n"/>
      <c r="N27" s="196">
        <f>IF($F27="","",TODAY()-$F27)</f>
        <v/>
      </c>
      <c r="O27" s="196">
        <f>IF($F27="","",IF($G27="Entretien","Suivre de près",IF($G27="Offre","Clôturé - Offre",IF($G27="Refusé","Clôturé",IF(AND($G27="Candidature envoyée",(TODAY()-$F27)&gt;14),"A relancer","En cours")))))</f>
        <v/>
      </c>
      <c r="P27" s="163">
        <f>IF($O27="A relancer",COUNTIF($O$6:$O27,"A relancer"),"")</f>
        <v/>
      </c>
      <c r="Q27" s="196">
        <f>IF($F27="","",WEEKNUM($F27,2))</f>
        <v/>
      </c>
      <c r="R27" s="196">
        <f>IF($F27="","",IF($G27="Offre",100,IF($G27="Entretien",90,IF($G27="Refusé",0,MIN(70,20+($N27*2)+IF($I27&lt;&gt;"",10,0)+IF($J27&lt;&gt;"",5,0))))))</f>
        <v/>
      </c>
      <c r="S27" s="169">
        <f>IF($I27&lt;&gt;"",MAX($S$5:$S26)+1,"")</f>
        <v/>
      </c>
      <c r="T27" s="196">
        <f>IF($C27="","",IF(COUNTIF($C$6:$C27,$C27)&gt;1,"Doublon possible",""))</f>
        <v/>
      </c>
      <c r="U27" s="163">
        <f>IF($G27="Entretien",COUNTIF($G$6:$G27,"Entretien"),"")</f>
        <v/>
      </c>
      <c r="W27" s="226">
        <f>IF($E27="","",IF(COUNTIF($E$6:$E27,$E27)=1,MAX($W$5:W26)+1,""))</f>
        <v/>
      </c>
    </row>
    <row r="28" ht="66.75" customHeight="1" s="164">
      <c r="B28" s="216" t="n">
        <v>23</v>
      </c>
      <c r="C28" s="217" t="inlineStr">
        <is>
          <t>David Whitfield
Operations Manager, Automation Division at Corvid Retail</t>
        </is>
      </c>
      <c r="D28" s="217" t="inlineStr">
        <is>
          <t>Spontaneous Application</t>
        </is>
      </c>
      <c r="E28" s="217" t="inlineStr">
        <is>
          <t>Countryside</t>
        </is>
      </c>
      <c r="F28" s="218" t="n">
        <v>46209</v>
      </c>
      <c r="G28" s="219" t="inlineStr">
        <is>
          <t>Candidature envoyée</t>
        </is>
      </c>
      <c r="H28" s="217" t="inlineStr">
        <is>
          <t>LinkedIn</t>
        </is>
      </c>
      <c r="I28" s="219" t="inlineStr">
        <is>
          <t>David Whitfield</t>
        </is>
      </c>
      <c r="J28" s="217" t="n"/>
      <c r="K28" s="219" t="inlineStr">
        <is>
          <t>Message LinkedIn envoyé, Candidature spontanée</t>
        </is>
      </c>
      <c r="L28" s="220" t="inlineStr">
        <is>
          <t>Add link here</t>
        </is>
      </c>
      <c r="M28" s="219" t="n"/>
      <c r="N28" s="196">
        <f>IF($F28="","",TODAY()-$F28)</f>
        <v/>
      </c>
      <c r="O28" s="196">
        <f>IF($F28="","",IF($G28="Entretien","Suivre de près",IF($G28="Offre","Clôturé - Offre",IF($G28="Refusé","Clôturé",IF(AND($G28="Candidature envoyée",(TODAY()-$F28)&gt;14),"A relancer","En cours")))))</f>
        <v/>
      </c>
      <c r="P28" s="163">
        <f>IF($O28="A relancer",COUNTIF($O$6:$O28,"A relancer"),"")</f>
        <v/>
      </c>
      <c r="Q28" s="196">
        <f>IF($F28="","",WEEKNUM($F28,2))</f>
        <v/>
      </c>
      <c r="R28" s="196">
        <f>IF($F28="","",IF($G28="Offre",100,IF($G28="Entretien",90,IF($G28="Refusé",0,MIN(70,20+($N28*2)+IF($I28&lt;&gt;"",10,0)+IF($J28&lt;&gt;"",5,0))))))</f>
        <v/>
      </c>
      <c r="S28" s="169">
        <f>IF($I28&lt;&gt;"",MAX($S$5:$S27)+1,"")</f>
        <v/>
      </c>
      <c r="T28" s="196">
        <f>IF($C28="","",IF(COUNTIF($C$6:$C28,$C28)&gt;1,"Doublon possible",""))</f>
        <v/>
      </c>
      <c r="U28" s="163">
        <f>IF($G28="Entretien",COUNTIF($G$6:$G28,"Entretien"),"")</f>
        <v/>
      </c>
      <c r="W28" s="226">
        <f>IF($E28="","",IF(COUNTIF($E$6:$E28,$E28)=1,MAX($W$5:W27)+1,""))</f>
        <v/>
      </c>
    </row>
    <row r="29" ht="76.5" customHeight="1" s="164">
      <c r="B29" s="221" t="n">
        <v>24</v>
      </c>
      <c r="C29" s="222" t="inlineStr">
        <is>
          <t>Elena Brooks
Senior Business Analyst | Process Improvement | Data | Reporting | Operations</t>
        </is>
      </c>
      <c r="D29" s="222" t="inlineStr">
        <is>
          <t>Spontaneous Application</t>
        </is>
      </c>
      <c r="E29" s="222" t="inlineStr">
        <is>
          <t>Countryside</t>
        </is>
      </c>
      <c r="F29" s="223" t="n">
        <v>46209</v>
      </c>
      <c r="G29" s="224" t="inlineStr">
        <is>
          <t>Candidature envoyée</t>
        </is>
      </c>
      <c r="H29" s="222" t="inlineStr">
        <is>
          <t>LinkedIn</t>
        </is>
      </c>
      <c r="I29" s="224" t="inlineStr">
        <is>
          <t>Elena Brooks</t>
        </is>
      </c>
      <c r="J29" s="222" t="n"/>
      <c r="K29" s="224" t="inlineStr">
        <is>
          <t>Message LinkedIn envoyé, Candidature spontanée</t>
        </is>
      </c>
      <c r="L29" s="225" t="inlineStr">
        <is>
          <t>Add link here</t>
        </is>
      </c>
      <c r="M29" s="224" t="n"/>
      <c r="N29" s="196">
        <f>IF($F29="","",TODAY()-$F29)</f>
        <v/>
      </c>
      <c r="O29" s="196">
        <f>IF($F29="","",IF($G29="Entretien","Suivre de près",IF($G29="Offre","Clôturé - Offre",IF($G29="Refusé","Clôturé",IF(AND($G29="Candidature envoyée",(TODAY()-$F29)&gt;14),"A relancer","En cours")))))</f>
        <v/>
      </c>
      <c r="P29" s="163">
        <f>IF($O29="A relancer",COUNTIF($O$6:$O29,"A relancer"),"")</f>
        <v/>
      </c>
      <c r="Q29" s="196">
        <f>IF($F29="","",WEEKNUM($F29,2))</f>
        <v/>
      </c>
      <c r="R29" s="196">
        <f>IF($F29="","",IF($G29="Offre",100,IF($G29="Entretien",90,IF($G29="Refusé",0,MIN(70,20+($N29*2)+IF($I29&lt;&gt;"",10,0)+IF($J29&lt;&gt;"",5,0))))))</f>
        <v/>
      </c>
      <c r="S29" s="169">
        <f>IF($I29&lt;&gt;"",MAX($S$5:$S28)+1,"")</f>
        <v/>
      </c>
      <c r="T29" s="196">
        <f>IF($C29="","",IF(COUNTIF($C$6:$C29,$C29)&gt;1,"Doublon possible",""))</f>
        <v/>
      </c>
      <c r="U29" s="163">
        <f>IF($G29="Entretien",COUNTIF($G$6:$G29,"Entretien"),"")</f>
        <v/>
      </c>
      <c r="W29" s="226">
        <f>IF($E29="","",IF(COUNTIF($E$6:$E29,$E29)=1,MAX($W$5:W28)+1,""))</f>
        <v/>
      </c>
    </row>
    <row r="30" ht="40.5" customHeight="1" s="164">
      <c r="B30" s="216" t="n">
        <v>25</v>
      </c>
      <c r="C30" s="217" t="inlineStr">
        <is>
          <t>Marcus Feld
Regional Operations Manager</t>
        </is>
      </c>
      <c r="D30" s="217" t="inlineStr">
        <is>
          <t>Connection Request</t>
        </is>
      </c>
      <c r="E30" s="217" t="inlineStr">
        <is>
          <t>Countryside</t>
        </is>
      </c>
      <c r="F30" s="218" t="n">
        <v>46209</v>
      </c>
      <c r="G30" s="219" t="inlineStr">
        <is>
          <t>Candidature envoyée</t>
        </is>
      </c>
      <c r="H30" s="217" t="inlineStr">
        <is>
          <t>LinkedIn</t>
        </is>
      </c>
      <c r="I30" s="219" t="inlineStr">
        <is>
          <t>Marcus Feld</t>
        </is>
      </c>
      <c r="J30" s="217" t="n"/>
      <c r="K30" s="219" t="inlineStr">
        <is>
          <t>Message LinkedIn envoyé, Candidature spontanée</t>
        </is>
      </c>
      <c r="L30" s="217" t="n"/>
      <c r="M30" s="219" t="n"/>
      <c r="N30" s="196">
        <f>IF($F30="","",TODAY()-$F30)</f>
        <v/>
      </c>
      <c r="O30" s="196">
        <f>IF($F30="","",IF($G30="Entretien","Suivre de près",IF($G30="Offre","Clôturé - Offre",IF($G30="Refusé","Clôturé",IF(AND($G30="Candidature envoyée",(TODAY()-$F30)&gt;14),"A relancer","En cours")))))</f>
        <v/>
      </c>
      <c r="P30" s="163">
        <f>IF($O30="A relancer",COUNTIF($O$6:$O30,"A relancer"),"")</f>
        <v/>
      </c>
      <c r="Q30" s="196">
        <f>IF($F30="","",WEEKNUM($F30,2))</f>
        <v/>
      </c>
      <c r="R30" s="196">
        <f>IF($F30="","",IF($G30="Offre",100,IF($G30="Entretien",90,IF($G30="Refusé",0,MIN(70,20+($N30*2)+IF($I30&lt;&gt;"",10,0)+IF($J30&lt;&gt;"",5,0))))))</f>
        <v/>
      </c>
      <c r="S30" s="169">
        <f>IF($I30&lt;&gt;"",MAX($S$5:$S29)+1,"")</f>
        <v/>
      </c>
      <c r="T30" s="196">
        <f>IF($C30="","",IF(COUNTIF($C$6:$C30,$C30)&gt;1,"Doublon possible",""))</f>
        <v/>
      </c>
      <c r="U30" s="163">
        <f>IF($G30="Entretien",COUNTIF($G$6:$G30,"Entretien"),"")</f>
        <v/>
      </c>
      <c r="W30" s="226">
        <f>IF($E30="","",IF(COUNTIF($E$6:$E30,$E30)=1,MAX($W$5:W29)+1,""))</f>
        <v/>
      </c>
    </row>
    <row r="31" ht="71.25" customHeight="1" s="164">
      <c r="B31" s="221" t="n">
        <v>26</v>
      </c>
      <c r="C31" s="222" t="inlineStr">
        <is>
          <t>Chloe Bernard
Head of People &amp; Culture // Employer Branding // HR Business Partner</t>
        </is>
      </c>
      <c r="D31" s="222" t="inlineStr">
        <is>
          <t>Spontaneous Application</t>
        </is>
      </c>
      <c r="E31" s="222" t="inlineStr">
        <is>
          <t>Countryside</t>
        </is>
      </c>
      <c r="F31" s="223" t="n">
        <v>46209</v>
      </c>
      <c r="G31" s="224" t="inlineStr">
        <is>
          <t>Candidature envoyée</t>
        </is>
      </c>
      <c r="H31" s="222" t="inlineStr">
        <is>
          <t>Facebook
LinkedIn</t>
        </is>
      </c>
      <c r="I31" s="224" t="inlineStr">
        <is>
          <t>Chloe Bernard</t>
        </is>
      </c>
      <c r="J31" s="222" t="n"/>
      <c r="K31" s="224" t="inlineStr">
        <is>
          <t>Message LinkedIn envoyé, Candidature spontanée</t>
        </is>
      </c>
      <c r="L31" s="225" t="inlineStr">
        <is>
          <t>Add link here</t>
        </is>
      </c>
      <c r="M31" s="224" t="n"/>
      <c r="N31" s="196">
        <f>IF($F31="","",TODAY()-$F31)</f>
        <v/>
      </c>
      <c r="O31" s="196">
        <f>IF($F31="","",IF($G31="Entretien","Suivre de près",IF($G31="Offre","Clôturé - Offre",IF($G31="Refusé","Clôturé",IF(AND($G31="Candidature envoyée",(TODAY()-$F31)&gt;14),"A relancer","En cours")))))</f>
        <v/>
      </c>
      <c r="P31" s="163">
        <f>IF($O31="A relancer",COUNTIF($O$6:$O31,"A relancer"),"")</f>
        <v/>
      </c>
      <c r="Q31" s="196">
        <f>IF($F31="","",WEEKNUM($F31,2))</f>
        <v/>
      </c>
      <c r="R31" s="196">
        <f>IF($F31="","",IF($G31="Offre",100,IF($G31="Entretien",90,IF($G31="Refusé",0,MIN(70,20+($N31*2)+IF($I31&lt;&gt;"",10,0)+IF($J31&lt;&gt;"",5,0))))))</f>
        <v/>
      </c>
      <c r="S31" s="169">
        <f>IF($I31&lt;&gt;"",MAX($S$5:$S30)+1,"")</f>
        <v/>
      </c>
      <c r="T31" s="196">
        <f>IF($C31="","",IF(COUNTIF($C$6:$C31,$C31)&gt;1,"Doublon possible",""))</f>
        <v/>
      </c>
      <c r="U31" s="163">
        <f>IF($G31="Entretien",COUNTIF($G$6:$G31,"Entretien"),"")</f>
        <v/>
      </c>
      <c r="W31" s="226">
        <f>IF($E31="","",IF(COUNTIF($E$6:$E31,$E31)=1,MAX($W$5:W30)+1,""))</f>
        <v/>
      </c>
    </row>
    <row r="32" ht="123.75" customHeight="1" s="164">
      <c r="B32" s="216" t="n">
        <v>27</v>
      </c>
      <c r="C32" s="217" t="inlineStr">
        <is>
          <t>Julia Hartmann
Regional Operations Manager at
 Sunridge Retail Group</t>
        </is>
      </c>
      <c r="D32" s="217" t="inlineStr">
        <is>
          <t>Spontaneous Application</t>
        </is>
      </c>
      <c r="E32" s="217" t="inlineStr">
        <is>
          <t>Countryside</t>
        </is>
      </c>
      <c r="F32" s="218" t="n">
        <v>46209</v>
      </c>
      <c r="G32" s="219" t="inlineStr">
        <is>
          <t>Candidature envoyée</t>
        </is>
      </c>
      <c r="H32" s="217" t="inlineStr">
        <is>
          <t>LinkedIn</t>
        </is>
      </c>
      <c r="I32" s="219" t="inlineStr">
        <is>
          <t>Julia Hartmann</t>
        </is>
      </c>
      <c r="J32" s="217" t="n"/>
      <c r="K32" s="219" t="inlineStr">
        <is>
          <t>Candidature spontanée, Message LinkedIn envoyé</t>
        </is>
      </c>
      <c r="L32" s="220" t="inlineStr">
        <is>
          <t>Add link here</t>
        </is>
      </c>
      <c r="M32" s="217" t="n"/>
      <c r="N32" s="196">
        <f>IF($F32="","",TODAY()-$F32)</f>
        <v/>
      </c>
      <c r="O32" s="196">
        <f>IF($F32="","",IF($G32="Entretien","Suivre de près",IF($G32="Offre","Clôturé - Offre",IF($G32="Refusé","Clôturé",IF(AND($G32="Candidature envoyée",(TODAY()-$F32)&gt;14),"A relancer","En cours")))))</f>
        <v/>
      </c>
      <c r="P32" s="163">
        <f>IF($O32="A relancer",COUNTIF($O$6:$O32,"A relancer"),"")</f>
        <v/>
      </c>
      <c r="Q32" s="196">
        <f>IF($F32="","",WEEKNUM($F32,2))</f>
        <v/>
      </c>
      <c r="R32" s="196">
        <f>IF($F32="","",IF($G32="Offre",100,IF($G32="Entretien",90,IF($G32="Refusé",0,MIN(70,20+($N32*2)+IF($I32&lt;&gt;"",10,0)+IF($J32&lt;&gt;"",5,0))))))</f>
        <v/>
      </c>
      <c r="S32" s="169">
        <f>IF($I32&lt;&gt;"",MAX($S$5:$S31)+1,"")</f>
        <v/>
      </c>
      <c r="T32" s="196">
        <f>IF($C32="","",IF(COUNTIF($C$6:$C32,$C32)&gt;1,"Doublon possible",""))</f>
        <v/>
      </c>
      <c r="U32" s="163">
        <f>IF($G32="Entretien",COUNTIF($G$6:$G32,"Entretien"),"")</f>
        <v/>
      </c>
      <c r="W32" s="226">
        <f>IF($E32="","",IF(COUNTIF($E$6:$E32,$E32)=1,MAX($W$5:W31)+1,""))</f>
        <v/>
      </c>
    </row>
    <row r="33" ht="23.25" customHeight="1" s="164">
      <c r="B33" s="221" t="n">
        <v>28</v>
      </c>
      <c r="C33" s="222" t="inlineStr">
        <is>
          <t>Camden Precision Retail</t>
        </is>
      </c>
      <c r="D33" s="222" t="inlineStr">
        <is>
          <t>Operations Coordinator (Maternity Leave Replacement)</t>
        </is>
      </c>
      <c r="E33" s="222" t="inlineStr">
        <is>
          <t>Meadowbrook</t>
        </is>
      </c>
      <c r="F33" s="223" t="n">
        <v>46209</v>
      </c>
      <c r="G33" s="224" t="inlineStr">
        <is>
          <t>Refusé</t>
        </is>
      </c>
      <c r="H33" s="222" t="inlineStr">
        <is>
          <t>LinkedIn</t>
        </is>
      </c>
      <c r="I33" s="224" t="inlineStr">
        <is>
          <t>Yara Lindqvist</t>
        </is>
      </c>
      <c r="J33" s="222" t="n"/>
      <c r="K33" s="224" t="inlineStr">
        <is>
          <t>Offre postulée</t>
        </is>
      </c>
      <c r="L33" s="222" t="n"/>
      <c r="M33" s="224" t="n"/>
      <c r="N33" s="196">
        <f>IF($F33="","",TODAY()-$F33)</f>
        <v/>
      </c>
      <c r="O33" s="196">
        <f>IF($F33="","",IF($G33="Entretien","Suivre de près",IF($G33="Offre","Clôturé - Offre",IF($G33="Refusé","Clôturé",IF(AND($G33="Candidature envoyée",(TODAY()-$F33)&gt;14),"A relancer","En cours")))))</f>
        <v/>
      </c>
      <c r="P33" s="163">
        <f>IF($O33="A relancer",COUNTIF($O$6:$O33,"A relancer"),"")</f>
        <v/>
      </c>
      <c r="Q33" s="196">
        <f>IF($F33="","",WEEKNUM($F33,2))</f>
        <v/>
      </c>
      <c r="R33" s="196">
        <f>IF($F33="","",IF($G33="Offre",100,IF($G33="Entretien",90,IF($G33="Refusé",0,MIN(70,20+($N33*2)+IF($I33&lt;&gt;"",10,0)+IF($J33&lt;&gt;"",5,0))))))</f>
        <v/>
      </c>
      <c r="S33" s="169">
        <f>IF($I33&lt;&gt;"",MAX($S$5:$S32)+1,"")</f>
        <v/>
      </c>
      <c r="T33" s="196">
        <f>IF($C33="","",IF(COUNTIF($C$6:$C33,$C33)&gt;1,"Doublon possible",""))</f>
        <v/>
      </c>
      <c r="U33" s="163">
        <f>IF($G33="Entretien",COUNTIF($G$6:$G33,"Entretien"),"")</f>
        <v/>
      </c>
      <c r="W33" s="226">
        <f>IF($E33="","",IF(COUNTIF($E$6:$E33,$E33)=1,MAX($W$5:W32)+1,""))</f>
        <v/>
      </c>
    </row>
    <row r="34" ht="68.25" customHeight="1" s="164">
      <c r="B34" s="216" t="n">
        <v>29</v>
      </c>
      <c r="C34" s="217" t="inlineStr">
        <is>
          <t>NorthStar HealthTech</t>
        </is>
      </c>
      <c r="D34" s="217" t="inlineStr">
        <is>
          <t xml:space="preserve"> Team Leader, Vendor Relations &amp; Development
 Chef d'équipe, relations fournisseurs et développement (R4040372)</t>
        </is>
      </c>
      <c r="E34" s="217" t="inlineStr">
        <is>
          <t>Meadowbrook</t>
        </is>
      </c>
      <c r="F34" s="218" t="n">
        <v>46209</v>
      </c>
      <c r="G34" s="219" t="inlineStr">
        <is>
          <t>Candidature envoyée</t>
        </is>
      </c>
      <c r="H34" s="217" t="inlineStr">
        <is>
          <t>Career site
 + 
Role flagged internally by Kristin Atwell</t>
        </is>
      </c>
      <c r="I34" s="219" t="inlineStr">
        <is>
          <t>Kristin Atwell</t>
        </is>
      </c>
      <c r="J34" s="217" t="n"/>
      <c r="K34" s="219" t="inlineStr">
        <is>
          <t>Offre postulée, Message LinkedIn envoyé</t>
        </is>
      </c>
      <c r="L34" s="220" t="inlineStr">
        <is>
          <t>Add link here</t>
        </is>
      </c>
      <c r="M34" s="219" t="n"/>
      <c r="N34" s="196">
        <f>IF($F34="","",TODAY()-$F34)</f>
        <v/>
      </c>
      <c r="O34" s="196">
        <f>IF($F34="","",IF($G34="Entretien","Suivre de près",IF($G34="Offre","Clôturé - Offre",IF($G34="Refusé","Clôturé",IF(AND($G34="Candidature envoyée",(TODAY()-$F34)&gt;14),"A relancer","En cours")))))</f>
        <v/>
      </c>
      <c r="P34" s="163">
        <f>IF($O34="A relancer",COUNTIF($O$6:$O34,"A relancer"),"")</f>
        <v/>
      </c>
      <c r="Q34" s="196">
        <f>IF($F34="","",WEEKNUM($F34,2))</f>
        <v/>
      </c>
      <c r="R34" s="196">
        <f>IF($F34="","",IF($G34="Offre",100,IF($G34="Entretien",90,IF($G34="Refusé",0,MIN(70,20+($N34*2)+IF($I34&lt;&gt;"",10,0)+IF($J34&lt;&gt;"",5,0))))))</f>
        <v/>
      </c>
      <c r="S34" s="169">
        <f>IF($I34&lt;&gt;"",MAX($S$5:$S33)+1,"")</f>
        <v/>
      </c>
      <c r="T34" s="196">
        <f>IF($C34="","",IF(COUNTIF($C$6:$C34,$C34)&gt;1,"Doublon possible",""))</f>
        <v/>
      </c>
      <c r="U34" s="163">
        <f>IF($G34="Entretien",COUNTIF($G$6:$G34,"Entretien"),"")</f>
        <v/>
      </c>
      <c r="W34" s="226">
        <f>IF($E34="","",IF(COUNTIF($E$6:$E34,$E34)=1,MAX($W$5:W33)+1,""))</f>
        <v/>
      </c>
    </row>
    <row r="35" ht="23.25" customHeight="1" s="164">
      <c r="B35" s="221" t="n">
        <v>30</v>
      </c>
      <c r="C35" s="222" t="inlineStr">
        <is>
          <t>Everline Innovations 
Brand Studio</t>
        </is>
      </c>
      <c r="D35" s="222" t="inlineStr">
        <is>
          <t>Spontaneous Application</t>
        </is>
      </c>
      <c r="E35" s="222" t="inlineStr">
        <is>
          <t>Lakeside</t>
        </is>
      </c>
      <c r="F35" s="223" t="n">
        <v>46209</v>
      </c>
      <c r="G35" s="224" t="inlineStr">
        <is>
          <t>Candidature envoyée</t>
        </is>
      </c>
      <c r="H35" s="222" t="inlineStr">
        <is>
          <t>LinkedIn</t>
        </is>
      </c>
      <c r="I35" s="224" t="inlineStr">
        <is>
          <t>Haim Bedard</t>
        </is>
      </c>
      <c r="J35" s="222" t="n"/>
      <c r="K35" s="224" t="inlineStr">
        <is>
          <t>Message LinkedIn envoyé, Candidature spontanée</t>
        </is>
      </c>
      <c r="L35" s="225" t="inlineStr">
        <is>
          <t>Add link here</t>
        </is>
      </c>
      <c r="M35" s="224" t="n"/>
      <c r="N35" s="196">
        <f>IF($F35="","",TODAY()-$F35)</f>
        <v/>
      </c>
      <c r="O35" s="196">
        <f>IF($F35="","",IF($G35="Entretien","Suivre de près",IF($G35="Offre","Clôturé - Offre",IF($G35="Refusé","Clôturé",IF(AND($G35="Candidature envoyée",(TODAY()-$F35)&gt;14),"A relancer","En cours")))))</f>
        <v/>
      </c>
      <c r="P35" s="163">
        <f>IF($O35="A relancer",COUNTIF($O$6:$O35,"A relancer"),"")</f>
        <v/>
      </c>
      <c r="Q35" s="196">
        <f>IF($F35="","",WEEKNUM($F35,2))</f>
        <v/>
      </c>
      <c r="R35" s="196">
        <f>IF($F35="","",IF($G35="Offre",100,IF($G35="Entretien",90,IF($G35="Refusé",0,MIN(70,20+($N35*2)+IF($I35&lt;&gt;"",10,0)+IF($J35&lt;&gt;"",5,0))))))</f>
        <v/>
      </c>
      <c r="S35" s="169">
        <f>IF($I35&lt;&gt;"",MAX($S$5:$S34)+1,"")</f>
        <v/>
      </c>
      <c r="T35" s="196">
        <f>IF($C35="","",IF(COUNTIF($C$6:$C35,$C35)&gt;1,"Doublon possible",""))</f>
        <v/>
      </c>
      <c r="U35" s="163">
        <f>IF($G35="Entretien",COUNTIF($G$6:$G35,"Entretien"),"")</f>
        <v/>
      </c>
      <c r="W35" s="226">
        <f>IF($E35="","",IF(COUNTIF($E$6:$E35,$E35)=1,MAX($W$5:W34)+1,""))</f>
        <v/>
      </c>
    </row>
    <row r="36" ht="15" customHeight="1" s="164">
      <c r="B36" s="216" t="n">
        <v>31</v>
      </c>
      <c r="C36" s="217" t="inlineStr">
        <is>
          <t>Solmar Group</t>
        </is>
      </c>
      <c r="D36" s="227" t="inlineStr">
        <is>
          <t>Production Area Lead</t>
        </is>
      </c>
      <c r="E36" s="217" t="inlineStr">
        <is>
          <t>Meadowbrook</t>
        </is>
      </c>
      <c r="F36" s="218" t="n">
        <v>46209</v>
      </c>
      <c r="G36" s="219" t="inlineStr">
        <is>
          <t>Candidature envoyée</t>
        </is>
      </c>
      <c r="H36" s="217" t="inlineStr">
        <is>
          <t>LinkedIn</t>
        </is>
      </c>
      <c r="I36" s="219" t="inlineStr">
        <is>
          <t>Asaf Rozin</t>
        </is>
      </c>
      <c r="J36" s="217" t="n"/>
      <c r="K36" s="219" t="inlineStr">
        <is>
          <t>Offre postulée</t>
        </is>
      </c>
      <c r="L36" s="220" t="inlineStr">
        <is>
          <t>Add link here</t>
        </is>
      </c>
      <c r="M36" s="219" t="n"/>
      <c r="N36" s="196">
        <f>IF($F36="","",TODAY()-$F36)</f>
        <v/>
      </c>
      <c r="O36" s="196">
        <f>IF($F36="","",IF($G36="Entretien","Suivre de près",IF($G36="Offre","Clôturé - Offre",IF($G36="Refusé","Clôturé",IF(AND($G36="Candidature envoyée",(TODAY()-$F36)&gt;14),"A relancer","En cours")))))</f>
        <v/>
      </c>
      <c r="P36" s="163">
        <f>IF($O36="A relancer",COUNTIF($O$6:$O36,"A relancer"),"")</f>
        <v/>
      </c>
      <c r="Q36" s="196">
        <f>IF($F36="","",WEEKNUM($F36,2))</f>
        <v/>
      </c>
      <c r="R36" s="196">
        <f>IF($F36="","",IF($G36="Offre",100,IF($G36="Entretien",90,IF($G36="Refusé",0,MIN(70,20+($N36*2)+IF($I36&lt;&gt;"",10,0)+IF($J36&lt;&gt;"",5,0))))))</f>
        <v/>
      </c>
      <c r="S36" s="169">
        <f>IF($I36&lt;&gt;"",MAX($S$5:$S35)+1,"")</f>
        <v/>
      </c>
      <c r="T36" s="196">
        <f>IF($C36="","",IF(COUNTIF($C$6:$C36,$C36)&gt;1,"Doublon possible",""))</f>
        <v/>
      </c>
      <c r="U36" s="163">
        <f>IF($G36="Entretien",COUNTIF($G$6:$G36,"Entretien"),"")</f>
        <v/>
      </c>
      <c r="W36" s="226">
        <f>IF($E36="","",IF(COUNTIF($E$6:$E36,$E36)=1,MAX($W$5:W35)+1,""))</f>
        <v/>
      </c>
    </row>
    <row r="37" ht="15" customHeight="1" s="164">
      <c r="B37" s="221" t="n">
        <v>32</v>
      </c>
      <c r="C37" s="222" t="inlineStr">
        <is>
          <t>Halden Consumer Systems</t>
        </is>
      </c>
      <c r="D37" s="222" t="inlineStr">
        <is>
          <t>Product Coordinator</t>
        </is>
      </c>
      <c r="E37" s="222" t="inlineStr">
        <is>
          <t>Meadowbrook</t>
        </is>
      </c>
      <c r="F37" s="223" t="n">
        <v>46210</v>
      </c>
      <c r="G37" s="224" t="inlineStr">
        <is>
          <t>Candidature envoyée</t>
        </is>
      </c>
      <c r="H37" s="222" t="inlineStr">
        <is>
          <t>Career Site</t>
        </is>
      </c>
      <c r="I37" s="224" t="inlineStr">
        <is>
          <t>Asaf Rozin</t>
        </is>
      </c>
      <c r="J37" s="222" t="n"/>
      <c r="K37" s="224" t="inlineStr">
        <is>
          <t>Offre postulée</t>
        </is>
      </c>
      <c r="L37" s="225" t="inlineStr">
        <is>
          <t>Add link here</t>
        </is>
      </c>
      <c r="M37" s="224" t="n"/>
      <c r="N37" s="196">
        <f>IF($F37="","",TODAY()-$F37)</f>
        <v/>
      </c>
      <c r="O37" s="196">
        <f>IF($F37="","",IF($G37="Entretien","Suivre de près",IF($G37="Offre","Clôturé - Offre",IF($G37="Refusé","Clôturé",IF(AND($G37="Candidature envoyée",(TODAY()-$F37)&gt;14),"A relancer","En cours")))))</f>
        <v/>
      </c>
      <c r="P37" s="163">
        <f>IF($O37="A relancer",COUNTIF($O$6:$O37,"A relancer"),"")</f>
        <v/>
      </c>
      <c r="Q37" s="196">
        <f>IF($F37="","",WEEKNUM($F37,2))</f>
        <v/>
      </c>
      <c r="R37" s="196">
        <f>IF($F37="","",IF($G37="Offre",100,IF($G37="Entretien",90,IF($G37="Refusé",0,MIN(70,20+($N37*2)+IF($I37&lt;&gt;"",10,0)+IF($J37&lt;&gt;"",5,0))))))</f>
        <v/>
      </c>
      <c r="S37" s="169">
        <f>IF($I37&lt;&gt;"",MAX($S$5:$S36)+1,"")</f>
        <v/>
      </c>
      <c r="T37" s="196">
        <f>IF($C37="","",IF(COUNTIF($C$6:$C37,$C37)&gt;1,"Doublon possible",""))</f>
        <v/>
      </c>
      <c r="U37" s="163">
        <f>IF($G37="Entretien",COUNTIF($G$6:$G37,"Entretien"),"")</f>
        <v/>
      </c>
      <c r="W37" s="226">
        <f>IF($E37="","",IF(COUNTIF($E$6:$E37,$E37)=1,MAX($W$5:W36)+1,""))</f>
        <v/>
      </c>
    </row>
    <row r="38" ht="45.75" customHeight="1" s="164">
      <c r="B38" s="216" t="n">
        <v>33</v>
      </c>
      <c r="C38" s="217" t="inlineStr">
        <is>
          <t>Foothill Foods</t>
        </is>
      </c>
      <c r="D38" s="227" t="inlineStr">
        <is>
          <t>Category Lead, Snacks Division</t>
        </is>
      </c>
      <c r="E38" s="217" t="inlineStr">
        <is>
          <t>Southbridge</t>
        </is>
      </c>
      <c r="F38" s="218" t="n">
        <v>46210</v>
      </c>
      <c r="G38" s="219" t="inlineStr">
        <is>
          <t>Candidature envoyée</t>
        </is>
      </c>
      <c r="H38" s="217" t="inlineStr">
        <is>
          <t>Career Site</t>
        </is>
      </c>
      <c r="I38" s="217" t="inlineStr">
        <is>
          <t>Olivia Warner
Brand coordinator @ Foothill Foods</t>
        </is>
      </c>
      <c r="J38" s="217" t="n"/>
      <c r="K38" s="219" t="inlineStr">
        <is>
          <t>Offre postulée</t>
        </is>
      </c>
      <c r="L38" s="220" t="inlineStr">
        <is>
          <t>Add link here</t>
        </is>
      </c>
      <c r="M38" s="219" t="n"/>
      <c r="N38" s="196">
        <f>IF($F38="","",TODAY()-$F38)</f>
        <v/>
      </c>
      <c r="O38" s="196">
        <f>IF($F38="","",IF($G38="Entretien","Suivre de près",IF($G38="Offre","Clôturé - Offre",IF($G38="Refusé","Clôturé",IF(AND($G38="Candidature envoyée",(TODAY()-$F38)&gt;14),"A relancer","En cours")))))</f>
        <v/>
      </c>
      <c r="P38" s="163">
        <f>IF($O38="A relancer",COUNTIF($O$6:$O38,"A relancer"),"")</f>
        <v/>
      </c>
      <c r="Q38" s="196">
        <f>IF($F38="","",WEEKNUM($F38,2))</f>
        <v/>
      </c>
      <c r="R38" s="196">
        <f>IF($F38="","",IF($G38="Offre",100,IF($G38="Entretien",90,IF($G38="Refusé",0,MIN(70,20+($N38*2)+IF($I38&lt;&gt;"",10,0)+IF($J38&lt;&gt;"",5,0))))))</f>
        <v/>
      </c>
      <c r="S38" s="169">
        <f>IF($I38&lt;&gt;"",MAX($S$5:$S37)+1,"")</f>
        <v/>
      </c>
      <c r="T38" s="196">
        <f>IF($C38="","",IF(COUNTIF($C$6:$C38,$C38)&gt;1,"Doublon possible",""))</f>
        <v/>
      </c>
      <c r="U38" s="163">
        <f>IF($G38="Entretien",COUNTIF($G$6:$G38,"Entretien"),"")</f>
        <v/>
      </c>
      <c r="W38" s="226">
        <f>IF($E38="","",IF(COUNTIF($E$6:$E38,$E38)=1,MAX($W$5:W37)+1,""))</f>
        <v/>
      </c>
    </row>
    <row r="39" ht="15" customHeight="1" s="164">
      <c r="B39" s="221" t="n">
        <v>34</v>
      </c>
      <c r="C39" s="222" t="inlineStr">
        <is>
          <t>Ridgeway Consulting</t>
        </is>
      </c>
      <c r="D39" s="222" t="inlineStr">
        <is>
          <t>Operations Manager</t>
        </is>
      </c>
      <c r="E39" s="222" t="n"/>
      <c r="F39" s="223" t="n">
        <v>46210</v>
      </c>
      <c r="G39" s="224" t="inlineStr">
        <is>
          <t>Entretien</t>
        </is>
      </c>
      <c r="H39" s="222" t="n"/>
      <c r="I39" s="224" t="inlineStr">
        <is>
          <t>Vered — Operations Director</t>
        </is>
      </c>
      <c r="J39" s="222" t="n"/>
      <c r="K39" s="224" t="inlineStr">
        <is>
          <t>Entretien téléphonique/WhatsApp de 40 min avec Vered, Quality Director</t>
        </is>
      </c>
      <c r="L39" s="222" t="n"/>
      <c r="M39" s="224" t="inlineStr">
        <is>
          <t>Phone/WhatsApp interview, 40 min, with Vered, Operations Director</t>
        </is>
      </c>
      <c r="N39" s="196">
        <f>IF($F39="","",TODAY()-$F39)</f>
        <v/>
      </c>
      <c r="O39" s="196">
        <f>IF($F39="","",IF($G39="Entretien","Suivre de près",IF($G39="Offre","Clôturé - Offre",IF($G39="Refusé","Clôturé",IF(AND($G39="Candidature envoyée",(TODAY()-$F39)&gt;14),"A relancer","En cours")))))</f>
        <v/>
      </c>
      <c r="P39" s="163">
        <f>IF($O39="A relancer",COUNTIF($O$6:$O39,"A relancer"),"")</f>
        <v/>
      </c>
      <c r="Q39" s="196">
        <f>IF($F39="","",WEEKNUM($F39,2))</f>
        <v/>
      </c>
      <c r="R39" s="196">
        <f>IF($F39="","",IF($G39="Offre",100,IF($G39="Entretien",90,IF($G39="Refusé",0,MIN(70,20+($N39*2)+IF($I39&lt;&gt;"",10,0)+IF($J39&lt;&gt;"",5,0))))))</f>
        <v/>
      </c>
      <c r="S39" s="169">
        <f>IF($I39&lt;&gt;"",MAX($S$5:$S38)+1,"")</f>
        <v/>
      </c>
      <c r="T39" s="196">
        <f>IF($C39="","",IF(COUNTIF($C$6:$C39,$C39)&gt;1,"Doublon possible",""))</f>
        <v/>
      </c>
      <c r="U39" s="163">
        <f>IF($G39="Entretien",COUNTIF($G$6:$G39,"Entretien"),"")</f>
        <v/>
      </c>
      <c r="W39" s="226">
        <f>IF($E39="","",IF(COUNTIF($E$6:$E39,$E39)=1,MAX($W$5:W38)+1,""))</f>
        <v/>
      </c>
    </row>
    <row r="40" ht="23.25" customHeight="1" s="164">
      <c r="B40" s="228" t="n">
        <v>35</v>
      </c>
      <c r="C40" s="229" t="inlineStr">
        <is>
          <t>Camden Precision Retail</t>
        </is>
      </c>
      <c r="D40" s="229" t="inlineStr">
        <is>
          <t>Configuration and Document Control Coordinator</t>
        </is>
      </c>
      <c r="E40" s="217" t="inlineStr">
        <is>
          <t>Meadowbrook</t>
        </is>
      </c>
      <c r="F40" s="223" t="n">
        <v>46212</v>
      </c>
      <c r="G40" s="230" t="inlineStr">
        <is>
          <t>Refusé</t>
        </is>
      </c>
      <c r="H40" s="217" t="inlineStr">
        <is>
          <t>LinkedIn</t>
        </is>
      </c>
      <c r="I40" s="229" t="inlineStr">
        <is>
          <t xml:space="preserve">
Yara Lindqvist </t>
        </is>
      </c>
      <c r="J40" s="229" t="n"/>
      <c r="K40" s="219" t="inlineStr">
        <is>
          <t>Offre postulée</t>
        </is>
      </c>
      <c r="L40" s="231" t="inlineStr">
        <is>
          <t>Add link here</t>
        </is>
      </c>
      <c r="M40" s="229" t="n"/>
      <c r="N40" s="196">
        <f>IF($F40="","",TODAY()-$F40)</f>
        <v/>
      </c>
      <c r="O40" s="196">
        <f>IF($F40="","",IF($G40="Entretien","Suivre de près",IF($G40="Offre","Clôturé - Offre",IF($G40="Refusé","Clôturé",IF(AND($G40="Candidature envoyée",(TODAY()-$F40)&gt;14),"A relancer","En cours")))))</f>
        <v/>
      </c>
      <c r="P40" s="163">
        <f>IF($O40="A relancer",COUNTIF($O$6:$O40,"A relancer"),"")</f>
        <v/>
      </c>
      <c r="Q40" s="196">
        <f>IF($F40="","",WEEKNUM($F40,2))</f>
        <v/>
      </c>
      <c r="R40" s="196">
        <f>IF($F40="","",IF($G40="Offre",100,IF($G40="Entretien",90,IF($G40="Refusé",0,MIN(70,20+($N40*2)+IF($I40&lt;&gt;"",10,0)+IF($J40&lt;&gt;"",5,0))))))</f>
        <v/>
      </c>
      <c r="S40" s="169">
        <f>IF($I40&lt;&gt;"",MAX($S$5:$S39)+1,"")</f>
        <v/>
      </c>
      <c r="T40" s="196">
        <f>IF($C40="","",IF(COUNTIF($C$6:$C40,$C40)&gt;1,"Doublon possible",""))</f>
        <v/>
      </c>
      <c r="U40" s="163">
        <f>IF($G40="Entretien",COUNTIF($G$6:$G40,"Entretien"),"")</f>
        <v/>
      </c>
      <c r="W40" s="226">
        <f>IF($E40="","",IF(COUNTIF($E$6:$E40,$E40)=1,MAX($W$5:W39)+1,""))</f>
        <v/>
      </c>
    </row>
    <row r="41" ht="15" customHeight="1" s="164">
      <c r="B41" s="228" t="n">
        <v>36</v>
      </c>
      <c r="C41" s="229" t="inlineStr">
        <is>
          <t>Verdant Group</t>
        </is>
      </c>
      <c r="D41" s="229" t="inlineStr">
        <is>
          <t xml:space="preserve">Process Coordinator position </t>
        </is>
      </c>
      <c r="E41" s="229" t="inlineStr">
        <is>
          <t>Central District</t>
        </is>
      </c>
      <c r="F41" s="223" t="n">
        <v>46212</v>
      </c>
      <c r="G41" s="230" t="inlineStr">
        <is>
          <t>Refusé</t>
        </is>
      </c>
      <c r="H41" s="217" t="inlineStr">
        <is>
          <t>LinkedIn</t>
        </is>
      </c>
      <c r="I41" s="229" t="n"/>
      <c r="J41" s="229" t="n"/>
      <c r="K41" s="219" t="inlineStr">
        <is>
          <t>Offre postulée</t>
        </is>
      </c>
      <c r="L41" s="229" t="n"/>
      <c r="M41" s="229" t="n"/>
      <c r="N41" s="196">
        <f>IF($F41="","",TODAY()-$F41)</f>
        <v/>
      </c>
      <c r="O41" s="196">
        <f>IF($F41="","",IF($G41="Entretien","Suivre de près",IF($G41="Offre","Clôturé - Offre",IF($G41="Refusé","Clôturé",IF(AND($G41="Candidature envoyée",(TODAY()-$F41)&gt;14),"A relancer","En cours")))))</f>
        <v/>
      </c>
      <c r="P41" s="163">
        <f>IF($O41="A relancer",COUNTIF($O$6:$O41,"A relancer"),"")</f>
        <v/>
      </c>
      <c r="Q41" s="196">
        <f>IF($F41="","",WEEKNUM($F41,2))</f>
        <v/>
      </c>
      <c r="R41" s="196">
        <f>IF($F41="","",IF($G41="Offre",100,IF($G41="Entretien",90,IF($G41="Refusé",0,MIN(70,20+($N41*2)+IF($I41&lt;&gt;"",10,0)+IF($J41&lt;&gt;"",5,0))))))</f>
        <v/>
      </c>
      <c r="S41" s="169">
        <f>IF($I41&lt;&gt;"",MAX($S$5:$S40)+1,"")</f>
        <v/>
      </c>
      <c r="T41" s="196">
        <f>IF($C41="","",IF(COUNTIF($C$6:$C41,$C41)&gt;1,"Doublon possible",""))</f>
        <v/>
      </c>
      <c r="U41" s="163">
        <f>IF($G41="Entretien",COUNTIF($G$6:$G41,"Entretien"),"")</f>
        <v/>
      </c>
      <c r="W41" s="226">
        <f>IF($E41="","",IF(COUNTIF($E$6:$E41,$E41)=1,MAX($W$5:W40)+1,""))</f>
        <v/>
      </c>
    </row>
    <row r="42" ht="15" customHeight="1" s="164">
      <c r="B42" s="228" t="n">
        <v>37</v>
      </c>
      <c r="C42" s="229" t="inlineStr">
        <is>
          <t>Solenne Group</t>
        </is>
      </c>
      <c r="D42" s="229" t="inlineStr">
        <is>
          <t xml:space="preserve">People &amp; Culture Specialist </t>
        </is>
      </c>
      <c r="E42" s="222" t="inlineStr">
        <is>
          <t>Fairview</t>
        </is>
      </c>
      <c r="F42" s="223" t="n">
        <v>46212</v>
      </c>
      <c r="G42" s="230" t="inlineStr">
        <is>
          <t>Candidature envoyée</t>
        </is>
      </c>
      <c r="H42" s="217" t="inlineStr">
        <is>
          <t>LinkedIn</t>
        </is>
      </c>
      <c r="I42" s="229" t="n"/>
      <c r="J42" s="229" t="n"/>
      <c r="K42" s="219" t="inlineStr">
        <is>
          <t>Offre postulée</t>
        </is>
      </c>
      <c r="L42" s="229" t="n"/>
      <c r="M42" s="229" t="n"/>
      <c r="N42" s="196">
        <f>IF($F42="","",TODAY()-$F42)</f>
        <v/>
      </c>
      <c r="O42" s="196">
        <f>IF($F42="","",IF($G42="Entretien","Suivre de près",IF($G42="Offre","Clôturé - Offre",IF($G42="Refusé","Clôturé",IF(AND($G42="Candidature envoyée",(TODAY()-$F42)&gt;14),"A relancer","En cours")))))</f>
        <v/>
      </c>
      <c r="P42" s="163">
        <f>IF($O42="A relancer",COUNTIF($O$6:$O42,"A relancer"),"")</f>
        <v/>
      </c>
      <c r="Q42" s="196">
        <f>IF($F42="","",WEEKNUM($F42,2))</f>
        <v/>
      </c>
      <c r="R42" s="196">
        <f>IF($F42="","",IF($G42="Offre",100,IF($G42="Entretien",90,IF($G42="Refusé",0,MIN(70,20+($N42*2)+IF($I42&lt;&gt;"",10,0)+IF($J42&lt;&gt;"",5,0))))))</f>
        <v/>
      </c>
      <c r="S42" s="169">
        <f>IF($I42&lt;&gt;"",MAX($S$5:$S41)+1,"")</f>
        <v/>
      </c>
      <c r="T42" s="196">
        <f>IF($C42="","",IF(COUNTIF($C$6:$C42,$C42)&gt;1,"Doublon possible",""))</f>
        <v/>
      </c>
      <c r="U42" s="163">
        <f>IF($G42="Entretien",COUNTIF($G$6:$G42,"Entretien"),"")</f>
        <v/>
      </c>
      <c r="W42" s="226">
        <f>IF($E42="","",IF(COUNTIF($E$6:$E42,$E42)=1,MAX($W$5:W41)+1,""))</f>
        <v/>
      </c>
    </row>
    <row r="43" ht="23.25" customHeight="1" s="164">
      <c r="B43" s="228" t="n">
        <v>38</v>
      </c>
      <c r="C43" s="229" t="inlineStr">
        <is>
          <t>Bright Horizon Staffing</t>
        </is>
      </c>
      <c r="D43" s="229" t="inlineStr">
        <is>
          <t>Experienced Retail Operations Coordinator</t>
        </is>
      </c>
      <c r="E43" s="229" t="inlineStr">
        <is>
          <t>Northgate, Central District</t>
        </is>
      </c>
      <c r="F43" s="223" t="n">
        <v>46212</v>
      </c>
      <c r="G43" s="230" t="inlineStr">
        <is>
          <t>Refusé</t>
        </is>
      </c>
      <c r="H43" s="217" t="inlineStr">
        <is>
          <t>LinkedIn</t>
        </is>
      </c>
      <c r="I43" s="229" t="inlineStr">
        <is>
          <t xml:space="preserve">Iris Bellamy </t>
        </is>
      </c>
      <c r="J43" s="229" t="n"/>
      <c r="K43" s="219" t="inlineStr">
        <is>
          <t>Offre postulée</t>
        </is>
      </c>
      <c r="L43" s="231" t="inlineStr">
        <is>
          <t>Add link here</t>
        </is>
      </c>
      <c r="M43" s="229" t="n"/>
      <c r="N43" s="196">
        <f>IF($F43="","",TODAY()-$F43)</f>
        <v/>
      </c>
      <c r="O43" s="196">
        <f>IF($F43="","",IF($G43="Entretien","Suivre de près",IF($G43="Offre","Clôturé - Offre",IF($G43="Refusé","Clôturé",IF(AND($G43="Candidature envoyée",(TODAY()-$F43)&gt;14),"A relancer","En cours")))))</f>
        <v/>
      </c>
      <c r="P43" s="163">
        <f>IF($O43="A relancer",COUNTIF($O$6:$O43,"A relancer"),"")</f>
        <v/>
      </c>
      <c r="Q43" s="196">
        <f>IF($F43="","",WEEKNUM($F43,2))</f>
        <v/>
      </c>
      <c r="R43" s="196">
        <f>IF($F43="","",IF($G43="Offre",100,IF($G43="Entretien",90,IF($G43="Refusé",0,MIN(70,20+($N43*2)+IF($I43&lt;&gt;"",10,0)+IF($J43&lt;&gt;"",5,0))))))</f>
        <v/>
      </c>
      <c r="S43" s="169">
        <f>IF($I43&lt;&gt;"",MAX($S$5:$S42)+1,"")</f>
        <v/>
      </c>
      <c r="T43" s="196">
        <f>IF($C43="","",IF(COUNTIF($C$6:$C43,$C43)&gt;1,"Doublon possible",""))</f>
        <v/>
      </c>
      <c r="U43" s="163">
        <f>IF($G43="Entretien",COUNTIF($G$6:$G43,"Entretien"),"")</f>
        <v/>
      </c>
      <c r="W43" s="226">
        <f>IF($E43="","",IF(COUNTIF($E$6:$E43,$E43)=1,MAX($W$5:W42)+1,""))</f>
        <v/>
      </c>
    </row>
    <row r="44" ht="23.25" customHeight="1" s="164">
      <c r="B44" s="228" t="n">
        <v>39</v>
      </c>
      <c r="C44" s="229" t="inlineStr">
        <is>
          <t>Kestrel Retail Group</t>
        </is>
      </c>
      <c r="D44" s="229" t="inlineStr">
        <is>
          <t>Quality Control Inspector</t>
        </is>
      </c>
      <c r="E44" s="229" t="inlineStr">
        <is>
          <t>Central District</t>
        </is>
      </c>
      <c r="F44" s="223" t="n">
        <v>46212</v>
      </c>
      <c r="G44" s="230" t="inlineStr">
        <is>
          <t>Candidature envoyée</t>
        </is>
      </c>
      <c r="H44" s="229" t="inlineStr">
        <is>
          <t>Career Site</t>
        </is>
      </c>
      <c r="I44" s="229" t="inlineStr">
        <is>
          <t xml:space="preserve">Gal Shafran </t>
        </is>
      </c>
      <c r="J44" s="229" t="n"/>
      <c r="K44" s="219" t="inlineStr">
        <is>
          <t>Offre postulée</t>
        </is>
      </c>
      <c r="L44" s="231" t="inlineStr">
        <is>
          <t>Add link here</t>
        </is>
      </c>
      <c r="M44" s="229" t="n"/>
      <c r="N44" s="196">
        <f>IF($F44="","",TODAY()-$F44)</f>
        <v/>
      </c>
      <c r="O44" s="196">
        <f>IF($F44="","",IF($G44="Entretien","Suivre de près",IF($G44="Offre","Clôturé - Offre",IF($G44="Refusé","Clôturé",IF(AND($G44="Candidature envoyée",(TODAY()-$F44)&gt;14),"A relancer","En cours")))))</f>
        <v/>
      </c>
      <c r="P44" s="163">
        <f>IF($O44="A relancer",COUNTIF($O$6:$O44,"A relancer"),"")</f>
        <v/>
      </c>
      <c r="Q44" s="196">
        <f>IF($F44="","",WEEKNUM($F44,2))</f>
        <v/>
      </c>
      <c r="R44" s="196">
        <f>IF($F44="","",IF($G44="Offre",100,IF($G44="Entretien",90,IF($G44="Refusé",0,MIN(70,20+($N44*2)+IF($I44&lt;&gt;"",10,0)+IF($J44&lt;&gt;"",5,0))))))</f>
        <v/>
      </c>
      <c r="S44" s="169">
        <f>IF($I44&lt;&gt;"",MAX($S$5:$S43)+1,"")</f>
        <v/>
      </c>
      <c r="T44" s="196">
        <f>IF($C44="","",IF(COUNTIF($C$6:$C44,$C44)&gt;1,"Doublon possible",""))</f>
        <v/>
      </c>
      <c r="U44" s="163">
        <f>IF($G44="Entretien",COUNTIF($G$6:$G44,"Entretien"),"")</f>
        <v/>
      </c>
      <c r="W44" s="226">
        <f>IF($E44="","",IF(COUNTIF($E$6:$E44,$E44)=1,MAX($W$5:W43)+1,""))</f>
        <v/>
      </c>
    </row>
    <row r="45" ht="23.25" customHeight="1" s="164">
      <c r="B45" s="228" t="n">
        <v>40</v>
      </c>
      <c r="C45" s="229" t="inlineStr">
        <is>
          <t>Arboria Paper Co.</t>
        </is>
      </c>
      <c r="D45" s="229" t="inlineStr">
        <is>
          <t>Site Inspector</t>
        </is>
      </c>
      <c r="E45" s="229" t="inlineStr">
        <is>
          <t>Riverbend</t>
        </is>
      </c>
      <c r="F45" s="223" t="n">
        <v>46213</v>
      </c>
      <c r="G45" s="230" t="inlineStr">
        <is>
          <t>Candidature envoyée</t>
        </is>
      </c>
      <c r="H45" s="229" t="inlineStr">
        <is>
          <t>Career Site</t>
        </is>
      </c>
      <c r="I45" s="229" t="n"/>
      <c r="J45" s="229" t="inlineStr">
        <is>
          <t>3,800-4,200</t>
        </is>
      </c>
      <c r="K45" s="219" t="inlineStr">
        <is>
          <t>Offre postulée</t>
        </is>
      </c>
      <c r="L45" s="231" t="inlineStr">
        <is>
          <t>Add link here</t>
        </is>
      </c>
      <c r="M45" s="229" t="n"/>
      <c r="N45" s="196">
        <f>IF($F45="","",TODAY()-$F45)</f>
        <v/>
      </c>
      <c r="O45" s="196">
        <f>IF($F45="","",IF($G45="Entretien","Suivre de près",IF($G45="Offre","Clôturé - Offre",IF($G45="Refusé","Clôturé",IF(AND($G45="Candidature envoyée",(TODAY()-$F45)&gt;14),"A relancer","En cours")))))</f>
        <v/>
      </c>
      <c r="P45" s="163">
        <f>IF($O45="A relancer",COUNTIF($O$6:$O45,"A relancer"),"")</f>
        <v/>
      </c>
      <c r="Q45" s="196">
        <f>IF($F45="","",WEEKNUM($F45,2))</f>
        <v/>
      </c>
      <c r="R45" s="196">
        <f>IF($F45="","",IF($G45="Offre",100,IF($G45="Entretien",90,IF($G45="Refusé",0,MIN(70,20+($N45*2)+IF($I45&lt;&gt;"",10,0)+IF($J45&lt;&gt;"",5,0))))))</f>
        <v/>
      </c>
      <c r="S45" s="169">
        <f>IF($I45&lt;&gt;"",MAX($S$5:$S44)+1,"")</f>
        <v/>
      </c>
      <c r="T45" s="196">
        <f>IF($C45="","",IF(COUNTIF($C$6:$C45,$C45)&gt;1,"Doublon possible",""))</f>
        <v/>
      </c>
      <c r="U45" s="163">
        <f>IF($G45="Entretien",COUNTIF($G$6:$G45,"Entretien"),"")</f>
        <v/>
      </c>
      <c r="W45" s="226">
        <f>IF($E45="","",IF(COUNTIF($E$6:$E45,$E45)=1,MAX($W$5:W44)+1,""))</f>
        <v/>
      </c>
    </row>
    <row r="46" ht="15" customHeight="1" s="164">
      <c r="B46" s="228" t="n">
        <v>41</v>
      </c>
      <c r="C46" s="229" t="inlineStr">
        <is>
          <t>Falcon Aerotech Support</t>
        </is>
      </c>
      <c r="D46" s="232" t="inlineStr">
        <is>
          <t xml:space="preserve">Operations Engineer </t>
        </is>
      </c>
      <c r="E46" s="229" t="inlineStr">
        <is>
          <t>Northgate</t>
        </is>
      </c>
      <c r="F46" s="223" t="n">
        <v>46213</v>
      </c>
      <c r="G46" s="230" t="inlineStr">
        <is>
          <t>Candidature envoyée</t>
        </is>
      </c>
      <c r="H46" s="229" t="inlineStr">
        <is>
          <t>Career Site</t>
        </is>
      </c>
      <c r="I46" s="229" t="n"/>
      <c r="J46" s="229" t="n"/>
      <c r="K46" s="219" t="inlineStr">
        <is>
          <t>Offre postulée</t>
        </is>
      </c>
      <c r="L46" s="231" t="inlineStr">
        <is>
          <t>Add link here</t>
        </is>
      </c>
      <c r="M46" s="229" t="n"/>
      <c r="N46" s="196">
        <f>IF($F46="","",TODAY()-$F46)</f>
        <v/>
      </c>
      <c r="O46" s="196">
        <f>IF($F46="","",IF($G46="Entretien","Suivre de près",IF($G46="Offre","Clôturé - Offre",IF($G46="Refusé","Clôturé",IF(AND($G46="Candidature envoyée",(TODAY()-$F46)&gt;14),"A relancer","En cours")))))</f>
        <v/>
      </c>
      <c r="P46" s="163">
        <f>IF($O46="A relancer",COUNTIF($O$6:$O46,"A relancer"),"")</f>
        <v/>
      </c>
      <c r="Q46" s="196">
        <f>IF($F46="","",WEEKNUM($F46,2))</f>
        <v/>
      </c>
      <c r="R46" s="196">
        <f>IF($F46="","",IF($G46="Offre",100,IF($G46="Entretien",90,IF($G46="Refusé",0,MIN(70,20+($N46*2)+IF($I46&lt;&gt;"",10,0)+IF($J46&lt;&gt;"",5,0))))))</f>
        <v/>
      </c>
      <c r="S46" s="169">
        <f>IF($I46&lt;&gt;"",MAX($S$5:$S45)+1,"")</f>
        <v/>
      </c>
      <c r="T46" s="196">
        <f>IF($C46="","",IF(COUNTIF($C$6:$C46,$C46)&gt;1,"Doublon possible",""))</f>
        <v/>
      </c>
      <c r="U46" s="163">
        <f>IF($G46="Entretien",COUNTIF($G$6:$G46,"Entretien"),"")</f>
        <v/>
      </c>
      <c r="W46" s="226">
        <f>IF($E46="","",IF(COUNTIF($E$6:$E46,$E46)=1,MAX($W$5:W45)+1,""))</f>
        <v/>
      </c>
    </row>
    <row r="47" ht="23.25" customHeight="1" s="164">
      <c r="B47" s="228" t="n">
        <v>42</v>
      </c>
      <c r="C47" s="229" t="inlineStr">
        <is>
          <t>Trellis Motion Systems</t>
        </is>
      </c>
      <c r="D47" s="229" t="inlineStr">
        <is>
          <t>Operations Coordinator</t>
        </is>
      </c>
      <c r="E47" s="229" t="inlineStr">
        <is>
          <t>Countryside</t>
        </is>
      </c>
      <c r="F47" s="223" t="n">
        <v>46213</v>
      </c>
      <c r="G47" s="230" t="inlineStr">
        <is>
          <t>Candidature envoyée</t>
        </is>
      </c>
      <c r="H47" s="217" t="inlineStr">
        <is>
          <t>LinkedIn</t>
        </is>
      </c>
      <c r="I47" s="229" t="n"/>
      <c r="J47" s="229" t="n"/>
      <c r="K47" s="219" t="inlineStr">
        <is>
          <t>Offre postulée</t>
        </is>
      </c>
      <c r="L47" s="231" t="inlineStr">
        <is>
          <t>Add link here</t>
        </is>
      </c>
      <c r="M47" s="229" t="n"/>
      <c r="N47" s="196">
        <f>IF($F47="","",TODAY()-$F47)</f>
        <v/>
      </c>
      <c r="O47" s="196">
        <f>IF($F47="","",IF($G47="Entretien","Suivre de près",IF($G47="Offre","Clôturé - Offre",IF($G47="Refusé","Clôturé",IF(AND($G47="Candidature envoyée",(TODAY()-$F47)&gt;14),"A relancer","En cours")))))</f>
        <v/>
      </c>
      <c r="P47" s="163">
        <f>IF($O47="A relancer",COUNTIF($O$6:$O47,"A relancer"),"")</f>
        <v/>
      </c>
      <c r="Q47" s="196">
        <f>IF($F47="","",WEEKNUM($F47,2))</f>
        <v/>
      </c>
      <c r="R47" s="196">
        <f>IF($F47="","",IF($G47="Offre",100,IF($G47="Entretien",90,IF($G47="Refusé",0,MIN(70,20+($N47*2)+IF($I47&lt;&gt;"",10,0)+IF($J47&lt;&gt;"",5,0))))))</f>
        <v/>
      </c>
      <c r="S47" s="169">
        <f>IF($I47&lt;&gt;"",MAX($S$5:$S46)+1,"")</f>
        <v/>
      </c>
      <c r="T47" s="196">
        <f>IF($C47="","",IF(COUNTIF($C$6:$C47,$C47)&gt;1,"Doublon possible",""))</f>
        <v/>
      </c>
      <c r="U47" s="163">
        <f>IF($G47="Entretien",COUNTIF($G$6:$G47,"Entretien"),"")</f>
        <v/>
      </c>
      <c r="W47" s="226">
        <f>IF($E47="","",IF(COUNTIF($E$6:$E47,$E47)=1,MAX($W$5:W46)+1,""))</f>
        <v/>
      </c>
    </row>
    <row r="48" ht="23.25" customHeight="1" s="164">
      <c r="B48" s="228" t="n">
        <v>43</v>
      </c>
      <c r="C48" s="229" t="inlineStr">
        <is>
          <t>Larkspur Retail Co.</t>
        </is>
      </c>
      <c r="D48" s="232" t="inlineStr">
        <is>
          <t>Category &amp; Materials Lead</t>
        </is>
      </c>
      <c r="E48" s="217" t="inlineStr">
        <is>
          <t>Meadowbrook</t>
        </is>
      </c>
      <c r="F48" s="223" t="n">
        <v>46213</v>
      </c>
      <c r="G48" s="230" t="inlineStr">
        <is>
          <t>Candidature envoyée</t>
        </is>
      </c>
      <c r="H48" s="217" t="inlineStr">
        <is>
          <t>LinkedIn</t>
        </is>
      </c>
      <c r="I48" s="229" t="inlineStr">
        <is>
          <t>Galina Argent</t>
        </is>
      </c>
      <c r="J48" s="229" t="n"/>
      <c r="K48" s="219" t="inlineStr">
        <is>
          <t>Offre postulée</t>
        </is>
      </c>
      <c r="L48" s="231" t="inlineStr">
        <is>
          <t>Add link here</t>
        </is>
      </c>
      <c r="M48" s="229" t="inlineStr">
        <is>
          <t>Sent her a connection request</t>
        </is>
      </c>
      <c r="N48" s="196">
        <f>IF($F48="","",TODAY()-$F48)</f>
        <v/>
      </c>
      <c r="O48" s="196">
        <f>IF($F48="","",IF($G48="Entretien","Suivre de près",IF($G48="Offre","Clôturé - Offre",IF($G48="Refusé","Clôturé",IF(AND($G48="Candidature envoyée",(TODAY()-$F48)&gt;14),"A relancer","En cours")))))</f>
        <v/>
      </c>
      <c r="P48" s="163">
        <f>IF($O48="A relancer",COUNTIF($O$6:$O48,"A relancer"),"")</f>
        <v/>
      </c>
      <c r="Q48" s="196">
        <f>IF($F48="","",WEEKNUM($F48,2))</f>
        <v/>
      </c>
      <c r="R48" s="196">
        <f>IF($F48="","",IF($G48="Offre",100,IF($G48="Entretien",90,IF($G48="Refusé",0,MIN(70,20+($N48*2)+IF($I48&lt;&gt;"",10,0)+IF($J48&lt;&gt;"",5,0))))))</f>
        <v/>
      </c>
      <c r="S48" s="169">
        <f>IF($I48&lt;&gt;"",MAX($S$5:$S47)+1,"")</f>
        <v/>
      </c>
      <c r="T48" s="196">
        <f>IF($C48="","",IF(COUNTIF($C$6:$C48,$C48)&gt;1,"Doublon possible",""))</f>
        <v/>
      </c>
      <c r="U48" s="163">
        <f>IF($G48="Entretien",COUNTIF($G$6:$G48,"Entretien"),"")</f>
        <v/>
      </c>
      <c r="W48" s="226">
        <f>IF($E48="","",IF(COUNTIF($E$6:$E48,$E48)=1,MAX($W$5:W47)+1,""))</f>
        <v/>
      </c>
    </row>
    <row r="49" ht="15" customHeight="1" s="164">
      <c r="B49" s="228" t="n"/>
      <c r="C49" s="229" t="n"/>
      <c r="D49" s="229" t="n"/>
      <c r="E49" s="229" t="n"/>
      <c r="F49" s="223" t="n"/>
      <c r="G49" s="230" t="n"/>
      <c r="H49" s="229" t="n"/>
      <c r="I49" s="229" t="n"/>
      <c r="J49" s="229" t="n"/>
      <c r="K49" s="219" t="n"/>
      <c r="L49" s="229" t="n"/>
      <c r="M49" s="229" t="n"/>
      <c r="N49" s="196">
        <f>IF($F49="","",TODAY()-$F49)</f>
        <v/>
      </c>
      <c r="O49" s="196">
        <f>IF($F49="","",IF($G49="Entretien","Suivre de près",IF($G49="Offre","Clôturé - Offre",IF($G49="Refusé","Clôturé",IF(AND($G49="Candidature envoyée",(TODAY()-$F49)&gt;14),"A relancer","En cours")))))</f>
        <v/>
      </c>
      <c r="P49" s="163">
        <f>IF($O49="A relancer",COUNTIF($O$6:$O49,"A relancer"),"")</f>
        <v/>
      </c>
      <c r="Q49" s="196">
        <f>IF($F49="","",WEEKNUM($F49,2))</f>
        <v/>
      </c>
      <c r="R49" s="196">
        <f>IF($F49="","",IF($G49="Offre",100,IF($G49="Entretien",90,IF($G49="Refusé",0,MIN(70,20+($N49*2)+IF($I49&lt;&gt;"",10,0)+IF($J49&lt;&gt;"",5,0))))))</f>
        <v/>
      </c>
      <c r="S49" s="169">
        <f>IF($I49&lt;&gt;"",MAX($S$5:$S48)+1,"")</f>
        <v/>
      </c>
      <c r="T49" s="196">
        <f>IF($C49="","",IF(COUNTIF($C$6:$C49,$C49)&gt;1,"Doublon possible",""))</f>
        <v/>
      </c>
      <c r="U49" s="163">
        <f>IF($G49="Entretien",COUNTIF($G$6:$G49,"Entretien"),"")</f>
        <v/>
      </c>
      <c r="W49" s="226">
        <f>IF($E49="","",IF(COUNTIF($E$6:$E49,$E49)=1,MAX($W$5:W48)+1,""))</f>
        <v/>
      </c>
    </row>
    <row r="50" ht="15" customHeight="1" s="164">
      <c r="B50" s="228" t="n"/>
      <c r="C50" s="229" t="n"/>
      <c r="D50" s="229" t="n"/>
      <c r="E50" s="229" t="n"/>
      <c r="F50" s="223" t="n"/>
      <c r="G50" s="230" t="n"/>
      <c r="H50" s="229" t="n"/>
      <c r="I50" s="229" t="n"/>
      <c r="J50" s="229" t="n"/>
      <c r="K50" s="219" t="n"/>
      <c r="L50" s="229" t="n"/>
      <c r="M50" s="229" t="n"/>
      <c r="N50" s="196">
        <f>IF($F50="","",TODAY()-$F50)</f>
        <v/>
      </c>
      <c r="O50" s="196">
        <f>IF($F50="","",IF($G50="Entretien","Suivre de près",IF($G50="Offre","Clôturé - Offre",IF($G50="Refusé","Clôturé",IF(AND($G50="Candidature envoyée",(TODAY()-$F50)&gt;14),"A relancer","En cours")))))</f>
        <v/>
      </c>
      <c r="P50" s="163">
        <f>IF($O50="A relancer",COUNTIF($O$6:$O50,"A relancer"),"")</f>
        <v/>
      </c>
      <c r="Q50" s="196">
        <f>IF($F50="","",WEEKNUM($F50,2))</f>
        <v/>
      </c>
      <c r="R50" s="196">
        <f>IF($F50="","",IF($G50="Offre",100,IF($G50="Entretien",90,IF($G50="Refusé",0,MIN(70,20+($N50*2)+IF($I50&lt;&gt;"",10,0)+IF($J50&lt;&gt;"",5,0))))))</f>
        <v/>
      </c>
      <c r="S50" s="169">
        <f>IF($I50&lt;&gt;"",MAX($S$5:$S49)+1,"")</f>
        <v/>
      </c>
      <c r="T50" s="196">
        <f>IF($C50="","",IF(COUNTIF($C$6:$C50,$C50)&gt;1,"Doublon possible",""))</f>
        <v/>
      </c>
      <c r="U50" s="163">
        <f>IF($G50="Entretien",COUNTIF($G$6:$G50,"Entretien"),"")</f>
        <v/>
      </c>
      <c r="W50" s="226">
        <f>IF($E50="","",IF(COUNTIF($E$6:$E50,$E50)=1,MAX($W$5:W49)+1,""))</f>
        <v/>
      </c>
    </row>
    <row r="51" ht="15" customHeight="1" s="164">
      <c r="B51" s="228" t="n">
        <v>46</v>
      </c>
      <c r="C51" s="229" t="n"/>
      <c r="D51" s="229" t="n"/>
      <c r="E51" s="229" t="n"/>
      <c r="F51" s="233" t="n"/>
      <c r="G51" s="230" t="n"/>
      <c r="H51" s="229" t="n"/>
      <c r="I51" s="229" t="n"/>
      <c r="J51" s="229" t="n"/>
      <c r="K51" s="219" t="inlineStr">
        <is>
          <t>Offre postulée</t>
        </is>
      </c>
      <c r="L51" s="229" t="n"/>
      <c r="M51" s="229" t="n"/>
      <c r="N51" s="196">
        <f>IF($F51="","",TODAY()-$F51)</f>
        <v/>
      </c>
      <c r="O51" s="196">
        <f>IF($F51="","",IF($G51="Entretien","Suivre de près",IF($G51="Offre","Clôturé - Offre",IF($G51="Refusé","Clôturé",IF(AND($G51="Candidature envoyée",(TODAY()-$F51)&gt;14),"A relancer","En cours")))))</f>
        <v/>
      </c>
      <c r="P51" s="163">
        <f>IF($O51="A relancer",COUNTIF($O$6:$O51,"A relancer"),"")</f>
        <v/>
      </c>
      <c r="Q51" s="196">
        <f>IF($F51="","",WEEKNUM($F51,2))</f>
        <v/>
      </c>
      <c r="R51" s="196">
        <f>IF($F51="","",IF($G51="Offre",100,IF($G51="Entretien",90,IF($G51="Refusé",0,MIN(70,20+($N51*2)+IF($I51&lt;&gt;"",10,0)+IF($J51&lt;&gt;"",5,0))))))</f>
        <v/>
      </c>
      <c r="S51" s="169">
        <f>IF($I51&lt;&gt;"",MAX($S$5:$S50)+1,"")</f>
        <v/>
      </c>
      <c r="T51" s="196">
        <f>IF($C51="","",IF(COUNTIF($C$6:$C51,$C51)&gt;1,"Doublon possible",""))</f>
        <v/>
      </c>
      <c r="U51" s="163">
        <f>IF($G51="Entretien",COUNTIF($G$6:$G51,"Entretien"),"")</f>
        <v/>
      </c>
      <c r="W51" s="226">
        <f>IF($E51="","",IF(COUNTIF($E$6:$E51,$E51)=1,MAX($W$5:W50)+1,""))</f>
        <v/>
      </c>
    </row>
    <row r="52" ht="15" customHeight="1" s="164">
      <c r="B52" s="228" t="n">
        <v>47</v>
      </c>
      <c r="C52" s="229" t="n"/>
      <c r="D52" s="229" t="n"/>
      <c r="E52" s="229" t="n"/>
      <c r="F52" s="233" t="n"/>
      <c r="G52" s="230" t="n"/>
      <c r="H52" s="229" t="n"/>
      <c r="I52" s="229" t="n"/>
      <c r="J52" s="229" t="n"/>
      <c r="K52" s="229" t="n"/>
      <c r="L52" s="229" t="n"/>
      <c r="M52" s="229" t="n"/>
      <c r="N52" s="196">
        <f>IF($F52="","",TODAY()-$F52)</f>
        <v/>
      </c>
      <c r="O52" s="196">
        <f>IF($F52="","",IF($G52="Entretien","Suivre de près",IF($G52="Offre","Clôturé - Offre",IF($G52="Refusé","Clôturé",IF(AND($G52="Candidature envoyée",(TODAY()-$F52)&gt;14),"A relancer","En cours")))))</f>
        <v/>
      </c>
      <c r="P52" s="163">
        <f>IF($O52="A relancer",COUNTIF($O$6:$O52,"A relancer"),"")</f>
        <v/>
      </c>
      <c r="Q52" s="196">
        <f>IF($F52="","",WEEKNUM($F52,2))</f>
        <v/>
      </c>
      <c r="R52" s="196">
        <f>IF($F52="","",IF($G52="Offre",100,IF($G52="Entretien",90,IF($G52="Refusé",0,MIN(70,20+($N52*2)+IF($I52&lt;&gt;"",10,0)+IF($J52&lt;&gt;"",5,0))))))</f>
        <v/>
      </c>
      <c r="S52" s="169">
        <f>IF($I52&lt;&gt;"",MAX($S$5:$S51)+1,"")</f>
        <v/>
      </c>
      <c r="T52" s="196">
        <f>IF($C52="","",IF(COUNTIF($C$6:$C52,$C52)&gt;1,"Doublon possible",""))</f>
        <v/>
      </c>
      <c r="U52" s="163">
        <f>IF($G52="Entretien",COUNTIF($G$6:$G52,"Entretien"),"")</f>
        <v/>
      </c>
      <c r="W52" s="226">
        <f>IF($E52="","",IF(COUNTIF($E$6:$E52,$E52)=1,MAX($W$5:W51)+1,""))</f>
        <v/>
      </c>
    </row>
    <row r="53" ht="15" customHeight="1" s="164">
      <c r="B53" s="228" t="n">
        <v>48</v>
      </c>
      <c r="C53" s="229" t="n"/>
      <c r="D53" s="229" t="n"/>
      <c r="E53" s="229" t="n"/>
      <c r="F53" s="233" t="n"/>
      <c r="G53" s="230" t="n"/>
      <c r="H53" s="229" t="n"/>
      <c r="I53" s="229" t="n"/>
      <c r="J53" s="229" t="n"/>
      <c r="K53" s="229" t="n"/>
      <c r="L53" s="229" t="n"/>
      <c r="M53" s="229" t="n"/>
      <c r="N53" s="196">
        <f>IF($F53="","",TODAY()-$F53)</f>
        <v/>
      </c>
      <c r="O53" s="196">
        <f>IF($F53="","",IF($G53="Entretien","Suivre de près",IF($G53="Offre","Clôturé - Offre",IF($G53="Refusé","Clôturé",IF(AND($G53="Candidature envoyée",(TODAY()-$F53)&gt;14),"A relancer","En cours")))))</f>
        <v/>
      </c>
      <c r="P53" s="163">
        <f>IF($O53="A relancer",COUNTIF($O$6:$O53,"A relancer"),"")</f>
        <v/>
      </c>
      <c r="Q53" s="196">
        <f>IF($F53="","",WEEKNUM($F53,2))</f>
        <v/>
      </c>
      <c r="R53" s="196">
        <f>IF($F53="","",IF($G53="Offre",100,IF($G53="Entretien",90,IF($G53="Refusé",0,MIN(70,20+($N53*2)+IF($I53&lt;&gt;"",10,0)+IF($J53&lt;&gt;"",5,0))))))</f>
        <v/>
      </c>
      <c r="S53" s="169">
        <f>IF($I53&lt;&gt;"",MAX($S$5:$S52)+1,"")</f>
        <v/>
      </c>
      <c r="T53" s="196">
        <f>IF($C53="","",IF(COUNTIF($C$6:$C53,$C53)&gt;1,"Doublon possible",""))</f>
        <v/>
      </c>
      <c r="U53" s="163">
        <f>IF($G53="Entretien",COUNTIF($G$6:$G53,"Entretien"),"")</f>
        <v/>
      </c>
      <c r="W53" s="226">
        <f>IF($E53="","",IF(COUNTIF($E$6:$E53,$E53)=1,MAX($W$5:W52)+1,""))</f>
        <v/>
      </c>
    </row>
    <row r="54" ht="15" customHeight="1" s="164">
      <c r="B54" s="228" t="n">
        <v>49</v>
      </c>
      <c r="C54" s="229" t="n"/>
      <c r="D54" s="229" t="n"/>
      <c r="E54" s="229" t="n"/>
      <c r="F54" s="233" t="n"/>
      <c r="G54" s="230" t="n"/>
      <c r="H54" s="229" t="n"/>
      <c r="I54" s="229" t="n"/>
      <c r="J54" s="229" t="n"/>
      <c r="K54" s="229" t="n"/>
      <c r="L54" s="229" t="n"/>
      <c r="M54" s="229" t="n"/>
      <c r="N54" s="196">
        <f>IF($F54="","",TODAY()-$F54)</f>
        <v/>
      </c>
      <c r="O54" s="196">
        <f>IF($F54="","",IF($G54="Entretien","Suivre de près",IF($G54="Offre","Clôturé - Offre",IF($G54="Refusé","Clôturé",IF(AND($G54="Candidature envoyée",(TODAY()-$F54)&gt;14),"A relancer","En cours")))))</f>
        <v/>
      </c>
      <c r="P54" s="163">
        <f>IF($O54="A relancer",COUNTIF($O$6:$O54,"A relancer"),"")</f>
        <v/>
      </c>
      <c r="Q54" s="196">
        <f>IF($F54="","",WEEKNUM($F54,2))</f>
        <v/>
      </c>
      <c r="R54" s="196">
        <f>IF($F54="","",IF($G54="Offre",100,IF($G54="Entretien",90,IF($G54="Refusé",0,MIN(70,20+($N54*2)+IF($I54&lt;&gt;"",10,0)+IF($J54&lt;&gt;"",5,0))))))</f>
        <v/>
      </c>
      <c r="S54" s="169">
        <f>IF($I54&lt;&gt;"",MAX($S$5:$S53)+1,"")</f>
        <v/>
      </c>
      <c r="T54" s="196">
        <f>IF($C54="","",IF(COUNTIF($C$6:$C54,$C54)&gt;1,"Doublon possible",""))</f>
        <v/>
      </c>
      <c r="U54" s="163">
        <f>IF($G54="Entretien",COUNTIF($G$6:$G54,"Entretien"),"")</f>
        <v/>
      </c>
      <c r="W54" s="226">
        <f>IF($E54="","",IF(COUNTIF($E$6:$E54,$E54)=1,MAX($W$5:W53)+1,""))</f>
        <v/>
      </c>
    </row>
    <row r="55" ht="15" customHeight="1" s="164">
      <c r="B55" s="228" t="n">
        <v>50</v>
      </c>
      <c r="C55" s="229" t="n"/>
      <c r="D55" s="229" t="n"/>
      <c r="E55" s="229" t="n"/>
      <c r="F55" s="233" t="n"/>
      <c r="G55" s="230" t="n"/>
      <c r="H55" s="229" t="n"/>
      <c r="I55" s="229" t="n"/>
      <c r="J55" s="229" t="n"/>
      <c r="K55" s="229" t="n"/>
      <c r="L55" s="229" t="n"/>
      <c r="M55" s="229" t="n"/>
      <c r="N55" s="196">
        <f>IF($F55="","",TODAY()-$F55)</f>
        <v/>
      </c>
      <c r="O55" s="196">
        <f>IF($F55="","",IF($G55="Entretien","Suivre de près",IF($G55="Offre","Clôturé - Offre",IF($G55="Refusé","Clôturé",IF(AND($G55="Candidature envoyée",(TODAY()-$F55)&gt;14),"A relancer","En cours")))))</f>
        <v/>
      </c>
      <c r="P55" s="163">
        <f>IF($O55="A relancer",COUNTIF($O$6:$O55,"A relancer"),"")</f>
        <v/>
      </c>
      <c r="Q55" s="196">
        <f>IF($F55="","",WEEKNUM($F55,2))</f>
        <v/>
      </c>
      <c r="R55" s="196">
        <f>IF($F55="","",IF($G55="Offre",100,IF($G55="Entretien",90,IF($G55="Refusé",0,MIN(70,20+($N55*2)+IF($I55&lt;&gt;"",10,0)+IF($J55&lt;&gt;"",5,0))))))</f>
        <v/>
      </c>
      <c r="S55" s="169">
        <f>IF($I55&lt;&gt;"",MAX($S$5:$S54)+1,"")</f>
        <v/>
      </c>
      <c r="T55" s="196">
        <f>IF($C55="","",IF(COUNTIF($C$6:$C55,$C55)&gt;1,"Doublon possible",""))</f>
        <v/>
      </c>
      <c r="U55" s="163">
        <f>IF($G55="Entretien",COUNTIF($G$6:$G55,"Entretien"),"")</f>
        <v/>
      </c>
      <c r="W55" s="226">
        <f>IF($E55="","",IF(COUNTIF($E$6:$E55,$E55)=1,MAX($W$5:W54)+1,""))</f>
        <v/>
      </c>
    </row>
    <row r="56" ht="15" customHeight="1" s="164">
      <c r="B56" s="228" t="n">
        <v>51</v>
      </c>
      <c r="C56" s="229" t="n"/>
      <c r="D56" s="229" t="n"/>
      <c r="E56" s="229" t="n"/>
      <c r="F56" s="233" t="n"/>
      <c r="G56" s="230" t="n"/>
      <c r="H56" s="229" t="n"/>
      <c r="I56" s="229" t="n"/>
      <c r="J56" s="229" t="n"/>
      <c r="K56" s="229" t="n"/>
      <c r="L56" s="229" t="n"/>
      <c r="M56" s="229" t="n"/>
      <c r="N56" s="196">
        <f>IF($F56="","",TODAY()-$F56)</f>
        <v/>
      </c>
      <c r="O56" s="196">
        <f>IF($F56="","",IF($G56="Entretien","Suivre de près",IF($G56="Offre","Clôturé - Offre",IF($G56="Refusé","Clôturé",IF(AND($G56="Candidature envoyée",(TODAY()-$F56)&gt;14),"A relancer","En cours")))))</f>
        <v/>
      </c>
      <c r="P56" s="163">
        <f>IF($O56="A relancer",COUNTIF($O$6:$O56,"A relancer"),"")</f>
        <v/>
      </c>
      <c r="Q56" s="196">
        <f>IF($F56="","",WEEKNUM($F56,2))</f>
        <v/>
      </c>
      <c r="R56" s="196">
        <f>IF($F56="","",IF($G56="Offre",100,IF($G56="Entretien",90,IF($G56="Refusé",0,MIN(70,20+($N56*2)+IF($I56&lt;&gt;"",10,0)+IF($J56&lt;&gt;"",5,0))))))</f>
        <v/>
      </c>
      <c r="S56" s="169">
        <f>IF($I56&lt;&gt;"",MAX($S$5:$S55)+1,"")</f>
        <v/>
      </c>
      <c r="T56" s="196">
        <f>IF($C56="","",IF(COUNTIF($C$6:$C56,$C56)&gt;1,"Doublon possible",""))</f>
        <v/>
      </c>
      <c r="U56" s="163">
        <f>IF($G56="Entretien",COUNTIF($G$6:$G56,"Entretien"),"")</f>
        <v/>
      </c>
      <c r="W56" s="226">
        <f>IF($E56="","",IF(COUNTIF($E$6:$E56,$E56)=1,MAX($W$5:W55)+1,""))</f>
        <v/>
      </c>
    </row>
    <row r="57" ht="15" customHeight="1" s="164">
      <c r="B57" s="228" t="n">
        <v>52</v>
      </c>
      <c r="C57" s="229" t="n"/>
      <c r="D57" s="229" t="n"/>
      <c r="E57" s="229" t="n"/>
      <c r="F57" s="233" t="n"/>
      <c r="G57" s="230" t="n"/>
      <c r="H57" s="229" t="n"/>
      <c r="I57" s="229" t="n"/>
      <c r="J57" s="229" t="n"/>
      <c r="K57" s="229" t="n"/>
      <c r="L57" s="229" t="n"/>
      <c r="M57" s="229" t="n"/>
      <c r="N57" s="196">
        <f>IF($F57="","",TODAY()-$F57)</f>
        <v/>
      </c>
      <c r="O57" s="196">
        <f>IF($F57="","",IF($G57="Entretien","Suivre de près",IF($G57="Offre","Clôturé - Offre",IF($G57="Refusé","Clôturé",IF(AND($G57="Candidature envoyée",(TODAY()-$F57)&gt;14),"A relancer","En cours")))))</f>
        <v/>
      </c>
      <c r="P57" s="163">
        <f>IF($O57="A relancer",COUNTIF($O$6:$O57,"A relancer"),"")</f>
        <v/>
      </c>
      <c r="Q57" s="196">
        <f>IF($F57="","",WEEKNUM($F57,2))</f>
        <v/>
      </c>
      <c r="R57" s="196">
        <f>IF($F57="","",IF($G57="Offre",100,IF($G57="Entretien",90,IF($G57="Refusé",0,MIN(70,20+($N57*2)+IF($I57&lt;&gt;"",10,0)+IF($J57&lt;&gt;"",5,0))))))</f>
        <v/>
      </c>
      <c r="S57" s="169">
        <f>IF($I57&lt;&gt;"",MAX($S$5:$S56)+1,"")</f>
        <v/>
      </c>
      <c r="T57" s="196">
        <f>IF($C57="","",IF(COUNTIF($C$6:$C57,$C57)&gt;1,"Doublon possible",""))</f>
        <v/>
      </c>
      <c r="U57" s="163">
        <f>IF($G57="Entretien",COUNTIF($G$6:$G57,"Entretien"),"")</f>
        <v/>
      </c>
      <c r="W57" s="226">
        <f>IF($E57="","",IF(COUNTIF($E$6:$E57,$E57)=1,MAX($W$5:W56)+1,""))</f>
        <v/>
      </c>
    </row>
    <row r="58" ht="15" customHeight="1" s="164">
      <c r="B58" s="228" t="n">
        <v>53</v>
      </c>
      <c r="C58" s="229" t="n"/>
      <c r="D58" s="229" t="n"/>
      <c r="E58" s="229" t="n"/>
      <c r="F58" s="233" t="n"/>
      <c r="G58" s="230" t="n"/>
      <c r="H58" s="229" t="n"/>
      <c r="I58" s="229" t="n"/>
      <c r="J58" s="229" t="n"/>
      <c r="K58" s="229" t="n"/>
      <c r="L58" s="229" t="n"/>
      <c r="M58" s="229" t="n"/>
      <c r="N58" s="196">
        <f>IF($F58="","",TODAY()-$F58)</f>
        <v/>
      </c>
      <c r="O58" s="196">
        <f>IF($F58="","",IF($G58="Entretien","Suivre de près",IF($G58="Offre","Clôturé - Offre",IF($G58="Refusé","Clôturé",IF(AND($G58="Candidature envoyée",(TODAY()-$F58)&gt;14),"A relancer","En cours")))))</f>
        <v/>
      </c>
      <c r="P58" s="163">
        <f>IF($O58="A relancer",COUNTIF($O$6:$O58,"A relancer"),"")</f>
        <v/>
      </c>
      <c r="Q58" s="196">
        <f>IF($F58="","",WEEKNUM($F58,2))</f>
        <v/>
      </c>
      <c r="R58" s="196">
        <f>IF($F58="","",IF($G58="Offre",100,IF($G58="Entretien",90,IF($G58="Refusé",0,MIN(70,20+($N58*2)+IF($I58&lt;&gt;"",10,0)+IF($J58&lt;&gt;"",5,0))))))</f>
        <v/>
      </c>
      <c r="S58" s="169">
        <f>IF($I58&lt;&gt;"",MAX($S$5:$S57)+1,"")</f>
        <v/>
      </c>
      <c r="T58" s="196">
        <f>IF($C58="","",IF(COUNTIF($C$6:$C58,$C58)&gt;1,"Doublon possible",""))</f>
        <v/>
      </c>
      <c r="U58" s="163">
        <f>IF($G58="Entretien",COUNTIF($G$6:$G58,"Entretien"),"")</f>
        <v/>
      </c>
      <c r="W58" s="226">
        <f>IF($E58="","",IF(COUNTIF($E$6:$E58,$E58)=1,MAX($W$5:W57)+1,""))</f>
        <v/>
      </c>
    </row>
    <row r="59" ht="15" customHeight="1" s="164">
      <c r="B59" s="228" t="n">
        <v>54</v>
      </c>
      <c r="C59" s="229" t="n"/>
      <c r="D59" s="229" t="n"/>
      <c r="E59" s="229" t="n"/>
      <c r="F59" s="233" t="n"/>
      <c r="G59" s="230" t="n"/>
      <c r="H59" s="229" t="n"/>
      <c r="I59" s="229" t="n"/>
      <c r="J59" s="229" t="n"/>
      <c r="K59" s="229" t="n"/>
      <c r="L59" s="229" t="n"/>
      <c r="M59" s="229" t="n"/>
      <c r="N59" s="196">
        <f>IF($F59="","",TODAY()-$F59)</f>
        <v/>
      </c>
      <c r="O59" s="196">
        <f>IF($F59="","",IF($G59="Entretien","Suivre de près",IF($G59="Offre","Clôturé - Offre",IF($G59="Refusé","Clôturé",IF(AND($G59="Candidature envoyée",(TODAY()-$F59)&gt;14),"A relancer","En cours")))))</f>
        <v/>
      </c>
      <c r="P59" s="163">
        <f>IF($O59="A relancer",COUNTIF($O$6:$O59,"A relancer"),"")</f>
        <v/>
      </c>
      <c r="Q59" s="196">
        <f>IF($F59="","",WEEKNUM($F59,2))</f>
        <v/>
      </c>
      <c r="R59" s="196">
        <f>IF($F59="","",IF($G59="Offre",100,IF($G59="Entretien",90,IF($G59="Refusé",0,MIN(70,20+($N59*2)+IF($I59&lt;&gt;"",10,0)+IF($J59&lt;&gt;"",5,0))))))</f>
        <v/>
      </c>
      <c r="S59" s="169">
        <f>IF($I59&lt;&gt;"",MAX($S$5:$S58)+1,"")</f>
        <v/>
      </c>
      <c r="T59" s="196">
        <f>IF($C59="","",IF(COUNTIF($C$6:$C59,$C59)&gt;1,"Doublon possible",""))</f>
        <v/>
      </c>
      <c r="U59" s="163">
        <f>IF($G59="Entretien",COUNTIF($G$6:$G59,"Entretien"),"")</f>
        <v/>
      </c>
      <c r="W59" s="226">
        <f>IF($E59="","",IF(COUNTIF($E$6:$E59,$E59)=1,MAX($W$5:W58)+1,""))</f>
        <v/>
      </c>
    </row>
    <row r="60" ht="15" customHeight="1" s="164">
      <c r="B60" s="228" t="n">
        <v>55</v>
      </c>
      <c r="C60" s="229" t="n"/>
      <c r="D60" s="229" t="n"/>
      <c r="E60" s="229" t="n"/>
      <c r="F60" s="233" t="n"/>
      <c r="G60" s="230" t="n"/>
      <c r="H60" s="229" t="n"/>
      <c r="I60" s="229" t="n"/>
      <c r="J60" s="229" t="n"/>
      <c r="K60" s="229" t="n"/>
      <c r="L60" s="229" t="n"/>
      <c r="M60" s="229" t="n"/>
      <c r="N60" s="196">
        <f>IF($F60="","",TODAY()-$F60)</f>
        <v/>
      </c>
      <c r="O60" s="196">
        <f>IF($F60="","",IF($G60="Entretien","Suivre de près",IF($G60="Offre","Clôturé - Offre",IF($G60="Refusé","Clôturé",IF(AND($G60="Candidature envoyée",(TODAY()-$F60)&gt;14),"A relancer","En cours")))))</f>
        <v/>
      </c>
      <c r="P60" s="163">
        <f>IF($O60="A relancer",COUNTIF($O$6:$O60,"A relancer"),"")</f>
        <v/>
      </c>
      <c r="Q60" s="196">
        <f>IF($F60="","",WEEKNUM($F60,2))</f>
        <v/>
      </c>
      <c r="R60" s="196">
        <f>IF($F60="","",IF($G60="Offre",100,IF($G60="Entretien",90,IF($G60="Refusé",0,MIN(70,20+($N60*2)+IF($I60&lt;&gt;"",10,0)+IF($J60&lt;&gt;"",5,0))))))</f>
        <v/>
      </c>
      <c r="S60" s="169">
        <f>IF($I60&lt;&gt;"",MAX($S$5:$S59)+1,"")</f>
        <v/>
      </c>
      <c r="T60" s="196">
        <f>IF($C60="","",IF(COUNTIF($C$6:$C60,$C60)&gt;1,"Doublon possible",""))</f>
        <v/>
      </c>
      <c r="U60" s="163">
        <f>IF($G60="Entretien",COUNTIF($G$6:$G60,"Entretien"),"")</f>
        <v/>
      </c>
      <c r="W60" s="226">
        <f>IF($E60="","",IF(COUNTIF($E$6:$E60,$E60)=1,MAX($W$5:W59)+1,""))</f>
        <v/>
      </c>
    </row>
    <row r="61" ht="15" customHeight="1" s="164">
      <c r="B61" s="228" t="n">
        <v>56</v>
      </c>
      <c r="C61" s="229" t="n"/>
      <c r="D61" s="229" t="n"/>
      <c r="E61" s="229" t="n"/>
      <c r="F61" s="233" t="n"/>
      <c r="G61" s="230" t="n"/>
      <c r="H61" s="229" t="n"/>
      <c r="I61" s="229" t="n"/>
      <c r="J61" s="229" t="n"/>
      <c r="K61" s="229" t="n"/>
      <c r="L61" s="229" t="n"/>
      <c r="M61" s="229" t="n"/>
      <c r="N61" s="196">
        <f>IF($F61="","",TODAY()-$F61)</f>
        <v/>
      </c>
      <c r="O61" s="196">
        <f>IF($F61="","",IF($G61="Entretien","Suivre de près",IF($G61="Offre","Clôturé - Offre",IF($G61="Refusé","Clôturé",IF(AND($G61="Candidature envoyée",(TODAY()-$F61)&gt;14),"A relancer","En cours")))))</f>
        <v/>
      </c>
      <c r="P61" s="163">
        <f>IF($O61="A relancer",COUNTIF($O$6:$O61,"A relancer"),"")</f>
        <v/>
      </c>
      <c r="Q61" s="196">
        <f>IF($F61="","",WEEKNUM($F61,2))</f>
        <v/>
      </c>
      <c r="R61" s="196">
        <f>IF($F61="","",IF($G61="Offre",100,IF($G61="Entretien",90,IF($G61="Refusé",0,MIN(70,20+($N61*2)+IF($I61&lt;&gt;"",10,0)+IF($J61&lt;&gt;"",5,0))))))</f>
        <v/>
      </c>
      <c r="S61" s="169">
        <f>IF($I61&lt;&gt;"",MAX($S$5:$S60)+1,"")</f>
        <v/>
      </c>
      <c r="T61" s="196">
        <f>IF($C61="","",IF(COUNTIF($C$6:$C61,$C61)&gt;1,"Doublon possible",""))</f>
        <v/>
      </c>
      <c r="U61" s="163">
        <f>IF($G61="Entretien",COUNTIF($G$6:$G61,"Entretien"),"")</f>
        <v/>
      </c>
      <c r="W61" s="226">
        <f>IF($E61="","",IF(COUNTIF($E$6:$E61,$E61)=1,MAX($W$5:W60)+1,""))</f>
        <v/>
      </c>
    </row>
    <row r="62" ht="15" customHeight="1" s="164">
      <c r="B62" s="228" t="n">
        <v>57</v>
      </c>
      <c r="C62" s="229" t="n"/>
      <c r="D62" s="229" t="n"/>
      <c r="E62" s="229" t="n"/>
      <c r="F62" s="233" t="n"/>
      <c r="G62" s="230" t="n"/>
      <c r="H62" s="229" t="n"/>
      <c r="I62" s="229" t="n"/>
      <c r="J62" s="229" t="n"/>
      <c r="K62" s="229" t="n"/>
      <c r="L62" s="229" t="n"/>
      <c r="M62" s="229" t="n"/>
      <c r="N62" s="196">
        <f>IF($F62="","",TODAY()-$F62)</f>
        <v/>
      </c>
      <c r="O62" s="196">
        <f>IF($F62="","",IF($G62="Entretien","Suivre de près",IF($G62="Offre","Clôturé - Offre",IF($G62="Refusé","Clôturé",IF(AND($G62="Candidature envoyée",(TODAY()-$F62)&gt;14),"A relancer","En cours")))))</f>
        <v/>
      </c>
      <c r="P62" s="163">
        <f>IF($O62="A relancer",COUNTIF($O$6:$O62,"A relancer"),"")</f>
        <v/>
      </c>
      <c r="Q62" s="196">
        <f>IF($F62="","",WEEKNUM($F62,2))</f>
        <v/>
      </c>
      <c r="R62" s="196">
        <f>IF($F62="","",IF($G62="Offre",100,IF($G62="Entretien",90,IF($G62="Refusé",0,MIN(70,20+($N62*2)+IF($I62&lt;&gt;"",10,0)+IF($J62&lt;&gt;"",5,0))))))</f>
        <v/>
      </c>
      <c r="S62" s="169">
        <f>IF($I62&lt;&gt;"",MAX($S$5:$S61)+1,"")</f>
        <v/>
      </c>
      <c r="T62" s="196">
        <f>IF($C62="","",IF(COUNTIF($C$6:$C62,$C62)&gt;1,"Doublon possible",""))</f>
        <v/>
      </c>
      <c r="U62" s="163">
        <f>IF($G62="Entretien",COUNTIF($G$6:$G62,"Entretien"),"")</f>
        <v/>
      </c>
      <c r="W62" s="226">
        <f>IF($E62="","",IF(COUNTIF($E$6:$E62,$E62)=1,MAX($W$5:W61)+1,""))</f>
        <v/>
      </c>
    </row>
    <row r="63" ht="15" customHeight="1" s="164">
      <c r="B63" s="228" t="n">
        <v>58</v>
      </c>
      <c r="C63" s="229" t="n"/>
      <c r="D63" s="229" t="n"/>
      <c r="E63" s="229" t="n"/>
      <c r="F63" s="233" t="n"/>
      <c r="G63" s="230" t="n"/>
      <c r="H63" s="229" t="n"/>
      <c r="I63" s="229" t="n"/>
      <c r="J63" s="229" t="n"/>
      <c r="K63" s="229" t="n"/>
      <c r="L63" s="229" t="n"/>
      <c r="M63" s="229" t="n"/>
      <c r="N63" s="196">
        <f>IF($F63="","",TODAY()-$F63)</f>
        <v/>
      </c>
      <c r="O63" s="196">
        <f>IF($F63="","",IF($G63="Entretien","Suivre de près",IF($G63="Offre","Clôturé - Offre",IF($G63="Refusé","Clôturé",IF(AND($G63="Candidature envoyée",(TODAY()-$F63)&gt;14),"A relancer","En cours")))))</f>
        <v/>
      </c>
      <c r="P63" s="163">
        <f>IF($O63="A relancer",COUNTIF($O$6:$O63,"A relancer"),"")</f>
        <v/>
      </c>
      <c r="Q63" s="196">
        <f>IF($F63="","",WEEKNUM($F63,2))</f>
        <v/>
      </c>
      <c r="R63" s="196">
        <f>IF($F63="","",IF($G63="Offre",100,IF($G63="Entretien",90,IF($G63="Refusé",0,MIN(70,20+($N63*2)+IF($I63&lt;&gt;"",10,0)+IF($J63&lt;&gt;"",5,0))))))</f>
        <v/>
      </c>
      <c r="S63" s="169">
        <f>IF($I63&lt;&gt;"",MAX($S$5:$S62)+1,"")</f>
        <v/>
      </c>
      <c r="T63" s="196">
        <f>IF($C63="","",IF(COUNTIF($C$6:$C63,$C63)&gt;1,"Doublon possible",""))</f>
        <v/>
      </c>
      <c r="U63" s="163">
        <f>IF($G63="Entretien",COUNTIF($G$6:$G63,"Entretien"),"")</f>
        <v/>
      </c>
      <c r="W63" s="226">
        <f>IF($E63="","",IF(COUNTIF($E$6:$E63,$E63)=1,MAX($W$5:W62)+1,""))</f>
        <v/>
      </c>
    </row>
    <row r="64" ht="15" customHeight="1" s="164">
      <c r="B64" s="228" t="n">
        <v>59</v>
      </c>
      <c r="C64" s="229" t="n"/>
      <c r="D64" s="229" t="n"/>
      <c r="E64" s="229" t="n"/>
      <c r="F64" s="233" t="n"/>
      <c r="G64" s="230" t="n"/>
      <c r="H64" s="229" t="n"/>
      <c r="I64" s="229" t="n"/>
      <c r="J64" s="229" t="n"/>
      <c r="K64" s="229" t="n"/>
      <c r="L64" s="229" t="n"/>
      <c r="M64" s="229" t="n"/>
      <c r="N64" s="196">
        <f>IF($F64="","",TODAY()-$F64)</f>
        <v/>
      </c>
      <c r="O64" s="196">
        <f>IF($F64="","",IF($G64="Entretien","Suivre de près",IF($G64="Offre","Clôturé - Offre",IF($G64="Refusé","Clôturé",IF(AND($G64="Candidature envoyée",(TODAY()-$F64)&gt;14),"A relancer","En cours")))))</f>
        <v/>
      </c>
      <c r="P64" s="163">
        <f>IF($O64="A relancer",COUNTIF($O$6:$O64,"A relancer"),"")</f>
        <v/>
      </c>
      <c r="Q64" s="196">
        <f>IF($F64="","",WEEKNUM($F64,2))</f>
        <v/>
      </c>
      <c r="R64" s="196">
        <f>IF($F64="","",IF($G64="Offre",100,IF($G64="Entretien",90,IF($G64="Refusé",0,MIN(70,20+($N64*2)+IF($I64&lt;&gt;"",10,0)+IF($J64&lt;&gt;"",5,0))))))</f>
        <v/>
      </c>
      <c r="S64" s="169">
        <f>IF($I64&lt;&gt;"",MAX($S$5:$S63)+1,"")</f>
        <v/>
      </c>
      <c r="T64" s="196">
        <f>IF($C64="","",IF(COUNTIF($C$6:$C64,$C64)&gt;1,"Doublon possible",""))</f>
        <v/>
      </c>
      <c r="U64" s="163">
        <f>IF($G64="Entretien",COUNTIF($G$6:$G64,"Entretien"),"")</f>
        <v/>
      </c>
      <c r="W64" s="226">
        <f>IF($E64="","",IF(COUNTIF($E$6:$E64,$E64)=1,MAX($W$5:W63)+1,""))</f>
        <v/>
      </c>
    </row>
    <row r="65" ht="15" customHeight="1" s="164">
      <c r="B65" s="228" t="n">
        <v>60</v>
      </c>
      <c r="C65" s="229" t="n"/>
      <c r="D65" s="229" t="n"/>
      <c r="E65" s="229" t="n"/>
      <c r="F65" s="233" t="n"/>
      <c r="G65" s="230" t="n"/>
      <c r="H65" s="229" t="n"/>
      <c r="I65" s="229" t="n"/>
      <c r="J65" s="229" t="n"/>
      <c r="K65" s="229" t="n"/>
      <c r="L65" s="229" t="n"/>
      <c r="M65" s="229" t="n"/>
      <c r="N65" s="196">
        <f>IF($F65="","",TODAY()-$F65)</f>
        <v/>
      </c>
      <c r="O65" s="196">
        <f>IF($F65="","",IF($G65="Entretien","Suivre de près",IF($G65="Offre","Clôturé - Offre",IF($G65="Refusé","Clôturé",IF(AND($G65="Candidature envoyée",(TODAY()-$F65)&gt;14),"A relancer","En cours")))))</f>
        <v/>
      </c>
      <c r="P65" s="163">
        <f>IF($O65="A relancer",COUNTIF($O$6:$O65,"A relancer"),"")</f>
        <v/>
      </c>
      <c r="Q65" s="196">
        <f>IF($F65="","",WEEKNUM($F65,2))</f>
        <v/>
      </c>
      <c r="R65" s="196">
        <f>IF($F65="","",IF($G65="Offre",100,IF($G65="Entretien",90,IF($G65="Refusé",0,MIN(70,20+($N65*2)+IF($I65&lt;&gt;"",10,0)+IF($J65&lt;&gt;"",5,0))))))</f>
        <v/>
      </c>
      <c r="S65" s="169">
        <f>IF($I65&lt;&gt;"",MAX($S$5:$S64)+1,"")</f>
        <v/>
      </c>
      <c r="T65" s="196">
        <f>IF($C65="","",IF(COUNTIF($C$6:$C65,$C65)&gt;1,"Doublon possible",""))</f>
        <v/>
      </c>
      <c r="U65" s="163">
        <f>IF($G65="Entretien",COUNTIF($G$6:$G65,"Entretien"),"")</f>
        <v/>
      </c>
      <c r="W65" s="226">
        <f>IF($E65="","",IF(COUNTIF($E$6:$E65,$E65)=1,MAX($W$5:W64)+1,""))</f>
        <v/>
      </c>
    </row>
    <row r="66" ht="15" customHeight="1" s="164">
      <c r="B66" s="228" t="n">
        <v>61</v>
      </c>
      <c r="C66" s="229" t="n"/>
      <c r="D66" s="229" t="n"/>
      <c r="E66" s="229" t="n"/>
      <c r="F66" s="233" t="n"/>
      <c r="G66" s="230" t="n"/>
      <c r="H66" s="229" t="n"/>
      <c r="I66" s="229" t="n"/>
      <c r="J66" s="229" t="n"/>
      <c r="K66" s="229" t="n"/>
      <c r="L66" s="229" t="n"/>
      <c r="M66" s="229" t="n"/>
      <c r="N66" s="196">
        <f>IF($F66="","",TODAY()-$F66)</f>
        <v/>
      </c>
      <c r="O66" s="196">
        <f>IF($F66="","",IF($G66="Entretien","Suivre de près",IF($G66="Offre","Clôturé - Offre",IF($G66="Refusé","Clôturé",IF(AND($G66="Candidature envoyée",(TODAY()-$F66)&gt;14),"A relancer","En cours")))))</f>
        <v/>
      </c>
      <c r="P66" s="163">
        <f>IF($O66="A relancer",COUNTIF($O$6:$O66,"A relancer"),"")</f>
        <v/>
      </c>
      <c r="Q66" s="196">
        <f>IF($F66="","",WEEKNUM($F66,2))</f>
        <v/>
      </c>
      <c r="R66" s="196">
        <f>IF($F66="","",IF($G66="Offre",100,IF($G66="Entretien",90,IF($G66="Refusé",0,MIN(70,20+($N66*2)+IF($I66&lt;&gt;"",10,0)+IF($J66&lt;&gt;"",5,0))))))</f>
        <v/>
      </c>
      <c r="S66" s="169">
        <f>IF($I66&lt;&gt;"",MAX($S$5:$S65)+1,"")</f>
        <v/>
      </c>
      <c r="T66" s="196">
        <f>IF($C66="","",IF(COUNTIF($C$6:$C66,$C66)&gt;1,"Doublon possible",""))</f>
        <v/>
      </c>
      <c r="U66" s="163">
        <f>IF($G66="Entretien",COUNTIF($G$6:$G66,"Entretien"),"")</f>
        <v/>
      </c>
      <c r="W66" s="226">
        <f>IF($E66="","",IF(COUNTIF($E$6:$E66,$E66)=1,MAX($W$5:W65)+1,""))</f>
        <v/>
      </c>
    </row>
    <row r="67" ht="15" customHeight="1" s="164">
      <c r="B67" s="228" t="n">
        <v>62</v>
      </c>
      <c r="C67" s="229" t="n"/>
      <c r="D67" s="229" t="n"/>
      <c r="E67" s="229" t="n"/>
      <c r="F67" s="233" t="n"/>
      <c r="G67" s="230" t="n"/>
      <c r="H67" s="229" t="n"/>
      <c r="I67" s="229" t="n"/>
      <c r="J67" s="229" t="n"/>
      <c r="K67" s="229" t="n"/>
      <c r="L67" s="229" t="n"/>
      <c r="M67" s="229" t="n"/>
      <c r="N67" s="196">
        <f>IF($F67="","",TODAY()-$F67)</f>
        <v/>
      </c>
      <c r="O67" s="196">
        <f>IF($F67="","",IF($G67="Entretien","Suivre de près",IF($G67="Offre","Clôturé - Offre",IF($G67="Refusé","Clôturé",IF(AND($G67="Candidature envoyée",(TODAY()-$F67)&gt;14),"A relancer","En cours")))))</f>
        <v/>
      </c>
      <c r="P67" s="163">
        <f>IF($O67="A relancer",COUNTIF($O$6:$O67,"A relancer"),"")</f>
        <v/>
      </c>
      <c r="Q67" s="196">
        <f>IF($F67="","",WEEKNUM($F67,2))</f>
        <v/>
      </c>
      <c r="R67" s="196">
        <f>IF($F67="","",IF($G67="Offre",100,IF($G67="Entretien",90,IF($G67="Refusé",0,MIN(70,20+($N67*2)+IF($I67&lt;&gt;"",10,0)+IF($J67&lt;&gt;"",5,0))))))</f>
        <v/>
      </c>
      <c r="S67" s="169">
        <f>IF($I67&lt;&gt;"",MAX($S$5:$S66)+1,"")</f>
        <v/>
      </c>
      <c r="T67" s="196">
        <f>IF($C67="","",IF(COUNTIF($C$6:$C67,$C67)&gt;1,"Doublon possible",""))</f>
        <v/>
      </c>
      <c r="U67" s="163">
        <f>IF($G67="Entretien",COUNTIF($G$6:$G67,"Entretien"),"")</f>
        <v/>
      </c>
      <c r="W67" s="226">
        <f>IF($E67="","",IF(COUNTIF($E$6:$E67,$E67)=1,MAX($W$5:W66)+1,""))</f>
        <v/>
      </c>
    </row>
    <row r="68" ht="15" customHeight="1" s="164">
      <c r="B68" s="228" t="n">
        <v>63</v>
      </c>
      <c r="C68" s="229" t="n"/>
      <c r="D68" s="229" t="n"/>
      <c r="E68" s="229" t="n"/>
      <c r="F68" s="233" t="n"/>
      <c r="G68" s="230" t="n"/>
      <c r="H68" s="229" t="n"/>
      <c r="I68" s="229" t="n"/>
      <c r="J68" s="229" t="n"/>
      <c r="K68" s="229" t="n"/>
      <c r="L68" s="229" t="n"/>
      <c r="M68" s="229" t="n"/>
      <c r="N68" s="196">
        <f>IF($F68="","",TODAY()-$F68)</f>
        <v/>
      </c>
      <c r="O68" s="196">
        <f>IF($F68="","",IF($G68="Entretien","Suivre de près",IF($G68="Offre","Clôturé - Offre",IF($G68="Refusé","Clôturé",IF(AND($G68="Candidature envoyée",(TODAY()-$F68)&gt;14),"A relancer","En cours")))))</f>
        <v/>
      </c>
      <c r="P68" s="163">
        <f>IF($O68="A relancer",COUNTIF($O$6:$O68,"A relancer"),"")</f>
        <v/>
      </c>
      <c r="Q68" s="196">
        <f>IF($F68="","",WEEKNUM($F68,2))</f>
        <v/>
      </c>
      <c r="R68" s="196">
        <f>IF($F68="","",IF($G68="Offre",100,IF($G68="Entretien",90,IF($G68="Refusé",0,MIN(70,20+($N68*2)+IF($I68&lt;&gt;"",10,0)+IF($J68&lt;&gt;"",5,0))))))</f>
        <v/>
      </c>
      <c r="S68" s="169">
        <f>IF($I68&lt;&gt;"",MAX($S$5:$S67)+1,"")</f>
        <v/>
      </c>
      <c r="T68" s="196">
        <f>IF($C68="","",IF(COUNTIF($C$6:$C68,$C68)&gt;1,"Doublon possible",""))</f>
        <v/>
      </c>
      <c r="U68" s="163">
        <f>IF($G68="Entretien",COUNTIF($G$6:$G68,"Entretien"),"")</f>
        <v/>
      </c>
      <c r="W68" s="226">
        <f>IF($E68="","",IF(COUNTIF($E$6:$E68,$E68)=1,MAX($W$5:W67)+1,""))</f>
        <v/>
      </c>
    </row>
    <row r="69" ht="15" customHeight="1" s="164">
      <c r="B69" s="228" t="n">
        <v>64</v>
      </c>
      <c r="C69" s="229" t="n"/>
      <c r="D69" s="229" t="n"/>
      <c r="E69" s="229" t="n"/>
      <c r="F69" s="233" t="n"/>
      <c r="G69" s="230" t="n"/>
      <c r="H69" s="229" t="n"/>
      <c r="I69" s="229" t="n"/>
      <c r="J69" s="229" t="n"/>
      <c r="K69" s="229" t="n"/>
      <c r="L69" s="229" t="n"/>
      <c r="M69" s="229" t="n"/>
      <c r="N69" s="196">
        <f>IF($F69="","",TODAY()-$F69)</f>
        <v/>
      </c>
      <c r="O69" s="196">
        <f>IF($F69="","",IF($G69="Entretien","Suivre de près",IF($G69="Offre","Clôturé - Offre",IF($G69="Refusé","Clôturé",IF(AND($G69="Candidature envoyée",(TODAY()-$F69)&gt;14),"A relancer","En cours")))))</f>
        <v/>
      </c>
      <c r="P69" s="163">
        <f>IF($O69="A relancer",COUNTIF($O$6:$O69,"A relancer"),"")</f>
        <v/>
      </c>
      <c r="Q69" s="196">
        <f>IF($F69="","",WEEKNUM($F69,2))</f>
        <v/>
      </c>
      <c r="R69" s="196">
        <f>IF($F69="","",IF($G69="Offre",100,IF($G69="Entretien",90,IF($G69="Refusé",0,MIN(70,20+($N69*2)+IF($I69&lt;&gt;"",10,0)+IF($J69&lt;&gt;"",5,0))))))</f>
        <v/>
      </c>
      <c r="S69" s="169">
        <f>IF($I69&lt;&gt;"",MAX($S$5:$S68)+1,"")</f>
        <v/>
      </c>
      <c r="T69" s="196">
        <f>IF($C69="","",IF(COUNTIF($C$6:$C69,$C69)&gt;1,"Doublon possible",""))</f>
        <v/>
      </c>
      <c r="U69" s="163">
        <f>IF($G69="Entretien",COUNTIF($G$6:$G69,"Entretien"),"")</f>
        <v/>
      </c>
      <c r="W69" s="226">
        <f>IF($E69="","",IF(COUNTIF($E$6:$E69,$E69)=1,MAX($W$5:W68)+1,""))</f>
        <v/>
      </c>
    </row>
    <row r="70" ht="15" customHeight="1" s="164">
      <c r="B70" s="228" t="n">
        <v>65</v>
      </c>
      <c r="C70" s="229" t="n"/>
      <c r="D70" s="229" t="n"/>
      <c r="E70" s="229" t="n"/>
      <c r="F70" s="233" t="n"/>
      <c r="G70" s="230" t="n"/>
      <c r="H70" s="229" t="n"/>
      <c r="I70" s="229" t="n"/>
      <c r="J70" s="229" t="n"/>
      <c r="K70" s="229" t="n"/>
      <c r="L70" s="229" t="n"/>
      <c r="M70" s="229" t="n"/>
      <c r="N70" s="196">
        <f>IF($F70="","",TODAY()-$F70)</f>
        <v/>
      </c>
      <c r="O70" s="196">
        <f>IF($F70="","",IF($G70="Entretien","Suivre de près",IF($G70="Offre","Clôturé - Offre",IF($G70="Refusé","Clôturé",IF(AND($G70="Candidature envoyée",(TODAY()-$F70)&gt;14),"A relancer","En cours")))))</f>
        <v/>
      </c>
      <c r="P70" s="163">
        <f>IF($O70="A relancer",COUNTIF($O$6:$O70,"A relancer"),"")</f>
        <v/>
      </c>
      <c r="Q70" s="196">
        <f>IF($F70="","",WEEKNUM($F70,2))</f>
        <v/>
      </c>
      <c r="R70" s="196">
        <f>IF($F70="","",IF($G70="Offre",100,IF($G70="Entretien",90,IF($G70="Refusé",0,MIN(70,20+($N70*2)+IF($I70&lt;&gt;"",10,0)+IF($J70&lt;&gt;"",5,0))))))</f>
        <v/>
      </c>
      <c r="S70" s="169">
        <f>IF($I70&lt;&gt;"",MAX($S$5:$S69)+1,"")</f>
        <v/>
      </c>
      <c r="T70" s="196">
        <f>IF($C70="","",IF(COUNTIF($C$6:$C70,$C70)&gt;1,"Doublon possible",""))</f>
        <v/>
      </c>
      <c r="U70" s="163">
        <f>IF($G70="Entretien",COUNTIF($G$6:$G70,"Entretien"),"")</f>
        <v/>
      </c>
      <c r="W70" s="226">
        <f>IF($E70="","",IF(COUNTIF($E$6:$E70,$E70)=1,MAX($W$5:W69)+1,""))</f>
        <v/>
      </c>
    </row>
    <row r="71" ht="15" customHeight="1" s="164">
      <c r="B71" s="228" t="n">
        <v>66</v>
      </c>
      <c r="C71" s="229" t="n"/>
      <c r="D71" s="229" t="n"/>
      <c r="E71" s="229" t="n"/>
      <c r="F71" s="233" t="n"/>
      <c r="G71" s="230" t="n"/>
      <c r="H71" s="229" t="n"/>
      <c r="I71" s="229" t="n"/>
      <c r="J71" s="229" t="n"/>
      <c r="K71" s="229" t="n"/>
      <c r="L71" s="229" t="n"/>
      <c r="M71" s="229" t="n"/>
      <c r="N71" s="196">
        <f>IF($F71="","",TODAY()-$F71)</f>
        <v/>
      </c>
      <c r="O71" s="196">
        <f>IF($F71="","",IF($G71="Entretien","Suivre de près",IF($G71="Offre","Clôturé - Offre",IF($G71="Refusé","Clôturé",IF(AND($G71="Candidature envoyée",(TODAY()-$F71)&gt;14),"A relancer","En cours")))))</f>
        <v/>
      </c>
      <c r="P71" s="163">
        <f>IF($O71="A relancer",COUNTIF($O$6:$O71,"A relancer"),"")</f>
        <v/>
      </c>
      <c r="Q71" s="196">
        <f>IF($F71="","",WEEKNUM($F71,2))</f>
        <v/>
      </c>
      <c r="R71" s="196">
        <f>IF($F71="","",IF($G71="Offre",100,IF($G71="Entretien",90,IF($G71="Refusé",0,MIN(70,20+($N71*2)+IF($I71&lt;&gt;"",10,0)+IF($J71&lt;&gt;"",5,0))))))</f>
        <v/>
      </c>
      <c r="S71" s="169">
        <f>IF($I71&lt;&gt;"",MAX($S$5:$S70)+1,"")</f>
        <v/>
      </c>
      <c r="T71" s="196">
        <f>IF($C71="","",IF(COUNTIF($C$6:$C71,$C71)&gt;1,"Doublon possible",""))</f>
        <v/>
      </c>
      <c r="U71" s="163">
        <f>IF($G71="Entretien",COUNTIF($G$6:$G71,"Entretien"),"")</f>
        <v/>
      </c>
      <c r="W71" s="226">
        <f>IF($E71="","",IF(COUNTIF($E$6:$E71,$E71)=1,MAX($W$5:W70)+1,""))</f>
        <v/>
      </c>
    </row>
    <row r="72" ht="15" customHeight="1" s="164">
      <c r="B72" s="228" t="n">
        <v>67</v>
      </c>
      <c r="C72" s="229" t="n"/>
      <c r="D72" s="229" t="n"/>
      <c r="E72" s="229" t="n"/>
      <c r="F72" s="233" t="n"/>
      <c r="G72" s="230" t="n"/>
      <c r="H72" s="229" t="n"/>
      <c r="I72" s="229" t="n"/>
      <c r="J72" s="229" t="n"/>
      <c r="K72" s="229" t="n"/>
      <c r="L72" s="229" t="n"/>
      <c r="M72" s="229" t="n"/>
      <c r="N72" s="196">
        <f>IF($F72="","",TODAY()-$F72)</f>
        <v/>
      </c>
      <c r="O72" s="196">
        <f>IF($F72="","",IF($G72="Entretien","Suivre de près",IF($G72="Offre","Clôturé - Offre",IF($G72="Refusé","Clôturé",IF(AND($G72="Candidature envoyée",(TODAY()-$F72)&gt;14),"A relancer","En cours")))))</f>
        <v/>
      </c>
      <c r="P72" s="163">
        <f>IF($O72="A relancer",COUNTIF($O$6:$O72,"A relancer"),"")</f>
        <v/>
      </c>
      <c r="Q72" s="196">
        <f>IF($F72="","",WEEKNUM($F72,2))</f>
        <v/>
      </c>
      <c r="R72" s="196">
        <f>IF($F72="","",IF($G72="Offre",100,IF($G72="Entretien",90,IF($G72="Refusé",0,MIN(70,20+($N72*2)+IF($I72&lt;&gt;"",10,0)+IF($J72&lt;&gt;"",5,0))))))</f>
        <v/>
      </c>
      <c r="S72" s="169">
        <f>IF($I72&lt;&gt;"",MAX($S$5:$S71)+1,"")</f>
        <v/>
      </c>
      <c r="T72" s="196">
        <f>IF($C72="","",IF(COUNTIF($C$6:$C72,$C72)&gt;1,"Doublon possible",""))</f>
        <v/>
      </c>
      <c r="U72" s="163">
        <f>IF($G72="Entretien",COUNTIF($G$6:$G72,"Entretien"),"")</f>
        <v/>
      </c>
      <c r="W72" s="226">
        <f>IF($E72="","",IF(COUNTIF($E$6:$E72,$E72)=1,MAX($W$5:W71)+1,""))</f>
        <v/>
      </c>
    </row>
    <row r="73" ht="15" customHeight="1" s="164">
      <c r="B73" s="228" t="n">
        <v>68</v>
      </c>
      <c r="C73" s="229" t="n"/>
      <c r="D73" s="229" t="n"/>
      <c r="E73" s="229" t="n"/>
      <c r="F73" s="233" t="n"/>
      <c r="G73" s="230" t="n"/>
      <c r="H73" s="229" t="n"/>
      <c r="I73" s="229" t="n"/>
      <c r="J73" s="229" t="n"/>
      <c r="K73" s="229" t="n"/>
      <c r="L73" s="229" t="n"/>
      <c r="M73" s="229" t="n"/>
      <c r="N73" s="196">
        <f>IF($F73="","",TODAY()-$F73)</f>
        <v/>
      </c>
      <c r="O73" s="196">
        <f>IF($F73="","",IF($G73="Entretien","Suivre de près",IF($G73="Offre","Clôturé - Offre",IF($G73="Refusé","Clôturé",IF(AND($G73="Candidature envoyée",(TODAY()-$F73)&gt;14),"A relancer","En cours")))))</f>
        <v/>
      </c>
      <c r="P73" s="163">
        <f>IF($O73="A relancer",COUNTIF($O$6:$O73,"A relancer"),"")</f>
        <v/>
      </c>
      <c r="Q73" s="196">
        <f>IF($F73="","",WEEKNUM($F73,2))</f>
        <v/>
      </c>
      <c r="R73" s="196">
        <f>IF($F73="","",IF($G73="Offre",100,IF($G73="Entretien",90,IF($G73="Refusé",0,MIN(70,20+($N73*2)+IF($I73&lt;&gt;"",10,0)+IF($J73&lt;&gt;"",5,0))))))</f>
        <v/>
      </c>
      <c r="S73" s="169">
        <f>IF($I73&lt;&gt;"",MAX($S$5:$S72)+1,"")</f>
        <v/>
      </c>
      <c r="T73" s="196">
        <f>IF($C73="","",IF(COUNTIF($C$6:$C73,$C73)&gt;1,"Doublon possible",""))</f>
        <v/>
      </c>
      <c r="U73" s="163">
        <f>IF($G73="Entretien",COUNTIF($G$6:$G73,"Entretien"),"")</f>
        <v/>
      </c>
      <c r="W73" s="226">
        <f>IF($E73="","",IF(COUNTIF($E$6:$E73,$E73)=1,MAX($W$5:W72)+1,""))</f>
        <v/>
      </c>
    </row>
    <row r="74" ht="15" customHeight="1" s="164">
      <c r="B74" s="228" t="n">
        <v>69</v>
      </c>
      <c r="C74" s="229" t="n"/>
      <c r="D74" s="229" t="n"/>
      <c r="E74" s="229" t="n"/>
      <c r="F74" s="233" t="n"/>
      <c r="G74" s="230" t="n"/>
      <c r="H74" s="229" t="n"/>
      <c r="I74" s="229" t="n"/>
      <c r="J74" s="229" t="n"/>
      <c r="K74" s="229" t="n"/>
      <c r="L74" s="229" t="n"/>
      <c r="M74" s="229" t="n"/>
      <c r="N74" s="196">
        <f>IF($F74="","",TODAY()-$F74)</f>
        <v/>
      </c>
      <c r="O74" s="196">
        <f>IF($F74="","",IF($G74="Entretien","Suivre de près",IF($G74="Offre","Clôturé - Offre",IF($G74="Refusé","Clôturé",IF(AND($G74="Candidature envoyée",(TODAY()-$F74)&gt;14),"A relancer","En cours")))))</f>
        <v/>
      </c>
      <c r="P74" s="163">
        <f>IF($O74="A relancer",COUNTIF($O$6:$O74,"A relancer"),"")</f>
        <v/>
      </c>
      <c r="Q74" s="196">
        <f>IF($F74="","",WEEKNUM($F74,2))</f>
        <v/>
      </c>
      <c r="R74" s="196">
        <f>IF($F74="","",IF($G74="Offre",100,IF($G74="Entretien",90,IF($G74="Refusé",0,MIN(70,20+($N74*2)+IF($I74&lt;&gt;"",10,0)+IF($J74&lt;&gt;"",5,0))))))</f>
        <v/>
      </c>
      <c r="S74" s="169">
        <f>IF($I74&lt;&gt;"",MAX($S$5:$S73)+1,"")</f>
        <v/>
      </c>
      <c r="T74" s="196">
        <f>IF($C74="","",IF(COUNTIF($C$6:$C74,$C74)&gt;1,"Doublon possible",""))</f>
        <v/>
      </c>
      <c r="U74" s="163">
        <f>IF($G74="Entretien",COUNTIF($G$6:$G74,"Entretien"),"")</f>
        <v/>
      </c>
      <c r="W74" s="226">
        <f>IF($E74="","",IF(COUNTIF($E$6:$E74,$E74)=1,MAX($W$5:W73)+1,""))</f>
        <v/>
      </c>
    </row>
    <row r="75" ht="15" customHeight="1" s="164">
      <c r="B75" s="228" t="n">
        <v>70</v>
      </c>
      <c r="C75" s="229" t="n"/>
      <c r="D75" s="229" t="n"/>
      <c r="E75" s="229" t="n"/>
      <c r="F75" s="233" t="n"/>
      <c r="G75" s="230" t="n"/>
      <c r="H75" s="229" t="n"/>
      <c r="I75" s="229" t="n"/>
      <c r="J75" s="229" t="n"/>
      <c r="K75" s="229" t="n"/>
      <c r="L75" s="229" t="n"/>
      <c r="M75" s="229" t="n"/>
      <c r="N75" s="196">
        <f>IF($F75="","",TODAY()-$F75)</f>
        <v/>
      </c>
      <c r="O75" s="196">
        <f>IF($F75="","",IF($G75="Entretien","Suivre de près",IF($G75="Offre","Clôturé - Offre",IF($G75="Refusé","Clôturé",IF(AND($G75="Candidature envoyée",(TODAY()-$F75)&gt;14),"A relancer","En cours")))))</f>
        <v/>
      </c>
      <c r="P75" s="163">
        <f>IF($O75="A relancer",COUNTIF($O$6:$O75,"A relancer"),"")</f>
        <v/>
      </c>
      <c r="Q75" s="196">
        <f>IF($F75="","",WEEKNUM($F75,2))</f>
        <v/>
      </c>
      <c r="R75" s="196">
        <f>IF($F75="","",IF($G75="Offre",100,IF($G75="Entretien",90,IF($G75="Refusé",0,MIN(70,20+($N75*2)+IF($I75&lt;&gt;"",10,0)+IF($J75&lt;&gt;"",5,0))))))</f>
        <v/>
      </c>
      <c r="S75" s="169">
        <f>IF($I75&lt;&gt;"",MAX($S$5:$S74)+1,"")</f>
        <v/>
      </c>
      <c r="T75" s="196">
        <f>IF($C75="","",IF(COUNTIF($C$6:$C75,$C75)&gt;1,"Doublon possible",""))</f>
        <v/>
      </c>
      <c r="U75" s="163">
        <f>IF($G75="Entretien",COUNTIF($G$6:$G75,"Entretien"),"")</f>
        <v/>
      </c>
      <c r="W75" s="226">
        <f>IF($E75="","",IF(COUNTIF($E$6:$E75,$E75)=1,MAX($W$5:W74)+1,""))</f>
        <v/>
      </c>
    </row>
    <row r="76" ht="15" customHeight="1" s="164">
      <c r="B76" s="228" t="n">
        <v>71</v>
      </c>
      <c r="C76" s="229" t="n"/>
      <c r="D76" s="229" t="n"/>
      <c r="E76" s="229" t="n"/>
      <c r="F76" s="233" t="n"/>
      <c r="G76" s="230" t="n"/>
      <c r="H76" s="229" t="n"/>
      <c r="I76" s="229" t="n"/>
      <c r="J76" s="229" t="n"/>
      <c r="K76" s="229" t="n"/>
      <c r="L76" s="229" t="n"/>
      <c r="M76" s="229" t="n"/>
      <c r="N76" s="196">
        <f>IF($F76="","",TODAY()-$F76)</f>
        <v/>
      </c>
      <c r="O76" s="196">
        <f>IF($F76="","",IF($G76="Entretien","Suivre de près",IF($G76="Offre","Clôturé - Offre",IF($G76="Refusé","Clôturé",IF(AND($G76="Candidature envoyée",(TODAY()-$F76)&gt;14),"A relancer","En cours")))))</f>
        <v/>
      </c>
      <c r="P76" s="163">
        <f>IF($O76="A relancer",COUNTIF($O$6:$O76,"A relancer"),"")</f>
        <v/>
      </c>
      <c r="Q76" s="196">
        <f>IF($F76="","",WEEKNUM($F76,2))</f>
        <v/>
      </c>
      <c r="R76" s="196">
        <f>IF($F76="","",IF($G76="Offre",100,IF($G76="Entretien",90,IF($G76="Refusé",0,MIN(70,20+($N76*2)+IF($I76&lt;&gt;"",10,0)+IF($J76&lt;&gt;"",5,0))))))</f>
        <v/>
      </c>
      <c r="S76" s="169">
        <f>IF($I76&lt;&gt;"",MAX($S$5:$S75)+1,"")</f>
        <v/>
      </c>
      <c r="T76" s="196">
        <f>IF($C76="","",IF(COUNTIF($C$6:$C76,$C76)&gt;1,"Doublon possible",""))</f>
        <v/>
      </c>
      <c r="U76" s="163">
        <f>IF($G76="Entretien",COUNTIF($G$6:$G76,"Entretien"),"")</f>
        <v/>
      </c>
      <c r="W76" s="226">
        <f>IF($E76="","",IF(COUNTIF($E$6:$E76,$E76)=1,MAX($W$5:W75)+1,""))</f>
        <v/>
      </c>
    </row>
    <row r="77" ht="15" customHeight="1" s="164">
      <c r="B77" s="228" t="n">
        <v>72</v>
      </c>
      <c r="C77" s="229" t="n"/>
      <c r="D77" s="229" t="n"/>
      <c r="E77" s="229" t="n"/>
      <c r="F77" s="233" t="n"/>
      <c r="G77" s="230" t="n"/>
      <c r="H77" s="229" t="n"/>
      <c r="I77" s="229" t="n"/>
      <c r="J77" s="229" t="n"/>
      <c r="K77" s="229" t="n"/>
      <c r="L77" s="229" t="n"/>
      <c r="M77" s="229" t="n"/>
      <c r="N77" s="196">
        <f>IF($F77="","",TODAY()-$F77)</f>
        <v/>
      </c>
      <c r="O77" s="196">
        <f>IF($F77="","",IF($G77="Entretien","Suivre de près",IF($G77="Offre","Clôturé - Offre",IF($G77="Refusé","Clôturé",IF(AND($G77="Candidature envoyée",(TODAY()-$F77)&gt;14),"A relancer","En cours")))))</f>
        <v/>
      </c>
      <c r="P77" s="163">
        <f>IF($O77="A relancer",COUNTIF($O$6:$O77,"A relancer"),"")</f>
        <v/>
      </c>
      <c r="Q77" s="196">
        <f>IF($F77="","",WEEKNUM($F77,2))</f>
        <v/>
      </c>
      <c r="R77" s="196">
        <f>IF($F77="","",IF($G77="Offre",100,IF($G77="Entretien",90,IF($G77="Refusé",0,MIN(70,20+($N77*2)+IF($I77&lt;&gt;"",10,0)+IF($J77&lt;&gt;"",5,0))))))</f>
        <v/>
      </c>
      <c r="S77" s="169">
        <f>IF($I77&lt;&gt;"",MAX($S$5:$S76)+1,"")</f>
        <v/>
      </c>
      <c r="T77" s="196">
        <f>IF($C77="","",IF(COUNTIF($C$6:$C77,$C77)&gt;1,"Doublon possible",""))</f>
        <v/>
      </c>
      <c r="U77" s="163">
        <f>IF($G77="Entretien",COUNTIF($G$6:$G77,"Entretien"),"")</f>
        <v/>
      </c>
      <c r="W77" s="226">
        <f>IF($E77="","",IF(COUNTIF($E$6:$E77,$E77)=1,MAX($W$5:W76)+1,""))</f>
        <v/>
      </c>
    </row>
    <row r="78" ht="15" customHeight="1" s="164">
      <c r="B78" s="228" t="n">
        <v>73</v>
      </c>
      <c r="C78" s="229" t="n"/>
      <c r="D78" s="229" t="n"/>
      <c r="E78" s="229" t="n"/>
      <c r="F78" s="233" t="n"/>
      <c r="G78" s="230" t="n"/>
      <c r="H78" s="229" t="n"/>
      <c r="I78" s="229" t="n"/>
      <c r="J78" s="229" t="n"/>
      <c r="K78" s="229" t="n"/>
      <c r="L78" s="229" t="n"/>
      <c r="M78" s="229" t="n"/>
      <c r="N78" s="196">
        <f>IF($F78="","",TODAY()-$F78)</f>
        <v/>
      </c>
      <c r="O78" s="196">
        <f>IF($F78="","",IF($G78="Entretien","Suivre de près",IF($G78="Offre","Clôturé - Offre",IF($G78="Refusé","Clôturé",IF(AND($G78="Candidature envoyée",(TODAY()-$F78)&gt;14),"A relancer","En cours")))))</f>
        <v/>
      </c>
      <c r="P78" s="163">
        <f>IF($O78="A relancer",COUNTIF($O$6:$O78,"A relancer"),"")</f>
        <v/>
      </c>
      <c r="Q78" s="196">
        <f>IF($F78="","",WEEKNUM($F78,2))</f>
        <v/>
      </c>
      <c r="R78" s="196">
        <f>IF($F78="","",IF($G78="Offre",100,IF($G78="Entretien",90,IF($G78="Refusé",0,MIN(70,20+($N78*2)+IF($I78&lt;&gt;"",10,0)+IF($J78&lt;&gt;"",5,0))))))</f>
        <v/>
      </c>
      <c r="S78" s="169">
        <f>IF($I78&lt;&gt;"",MAX($S$5:$S77)+1,"")</f>
        <v/>
      </c>
      <c r="T78" s="196">
        <f>IF($C78="","",IF(COUNTIF($C$6:$C78,$C78)&gt;1,"Doublon possible",""))</f>
        <v/>
      </c>
      <c r="U78" s="163">
        <f>IF($G78="Entretien",COUNTIF($G$6:$G78,"Entretien"),"")</f>
        <v/>
      </c>
      <c r="W78" s="226">
        <f>IF($E78="","",IF(COUNTIF($E$6:$E78,$E78)=1,MAX($W$5:W77)+1,""))</f>
        <v/>
      </c>
    </row>
    <row r="79" ht="15" customHeight="1" s="164">
      <c r="B79" s="228" t="n">
        <v>74</v>
      </c>
      <c r="C79" s="229" t="n"/>
      <c r="D79" s="229" t="n"/>
      <c r="E79" s="229" t="n"/>
      <c r="F79" s="233" t="n"/>
      <c r="G79" s="230" t="n"/>
      <c r="H79" s="229" t="n"/>
      <c r="I79" s="229" t="n"/>
      <c r="J79" s="229" t="n"/>
      <c r="K79" s="229" t="n"/>
      <c r="L79" s="229" t="n"/>
      <c r="M79" s="229" t="n"/>
      <c r="N79" s="196">
        <f>IF($F79="","",TODAY()-$F79)</f>
        <v/>
      </c>
      <c r="O79" s="196">
        <f>IF($F79="","",IF($G79="Entretien","Suivre de près",IF($G79="Offre","Clôturé - Offre",IF($G79="Refusé","Clôturé",IF(AND($G79="Candidature envoyée",(TODAY()-$F79)&gt;14),"A relancer","En cours")))))</f>
        <v/>
      </c>
      <c r="P79" s="163">
        <f>IF($O79="A relancer",COUNTIF($O$6:$O79,"A relancer"),"")</f>
        <v/>
      </c>
      <c r="Q79" s="196">
        <f>IF($F79="","",WEEKNUM($F79,2))</f>
        <v/>
      </c>
      <c r="R79" s="196">
        <f>IF($F79="","",IF($G79="Offre",100,IF($G79="Entretien",90,IF($G79="Refusé",0,MIN(70,20+($N79*2)+IF($I79&lt;&gt;"",10,0)+IF($J79&lt;&gt;"",5,0))))))</f>
        <v/>
      </c>
      <c r="S79" s="169">
        <f>IF($I79&lt;&gt;"",MAX($S$5:$S78)+1,"")</f>
        <v/>
      </c>
      <c r="T79" s="196">
        <f>IF($C79="","",IF(COUNTIF($C$6:$C79,$C79)&gt;1,"Doublon possible",""))</f>
        <v/>
      </c>
      <c r="U79" s="163">
        <f>IF($G79="Entretien",COUNTIF($G$6:$G79,"Entretien"),"")</f>
        <v/>
      </c>
      <c r="W79" s="226">
        <f>IF($E79="","",IF(COUNTIF($E$6:$E79,$E79)=1,MAX($W$5:W78)+1,""))</f>
        <v/>
      </c>
    </row>
    <row r="80" ht="15" customHeight="1" s="164">
      <c r="B80" s="228" t="n">
        <v>75</v>
      </c>
      <c r="C80" s="229" t="n"/>
      <c r="D80" s="229" t="n"/>
      <c r="E80" s="229" t="n"/>
      <c r="F80" s="233" t="n"/>
      <c r="G80" s="230" t="n"/>
      <c r="H80" s="229" t="n"/>
      <c r="I80" s="229" t="n"/>
      <c r="J80" s="229" t="n"/>
      <c r="K80" s="229" t="n"/>
      <c r="L80" s="229" t="n"/>
      <c r="M80" s="229" t="n"/>
      <c r="N80" s="196">
        <f>IF($F80="","",TODAY()-$F80)</f>
        <v/>
      </c>
      <c r="O80" s="196">
        <f>IF($F80="","",IF($G80="Entretien","Suivre de près",IF($G80="Offre","Clôturé - Offre",IF($G80="Refusé","Clôturé",IF(AND($G80="Candidature envoyée",(TODAY()-$F80)&gt;14),"A relancer","En cours")))))</f>
        <v/>
      </c>
      <c r="P80" s="163">
        <f>IF($O80="A relancer",COUNTIF($O$6:$O80,"A relancer"),"")</f>
        <v/>
      </c>
      <c r="Q80" s="196">
        <f>IF($F80="","",WEEKNUM($F80,2))</f>
        <v/>
      </c>
      <c r="R80" s="196">
        <f>IF($F80="","",IF($G80="Offre",100,IF($G80="Entretien",90,IF($G80="Refusé",0,MIN(70,20+($N80*2)+IF($I80&lt;&gt;"",10,0)+IF($J80&lt;&gt;"",5,0))))))</f>
        <v/>
      </c>
      <c r="S80" s="169">
        <f>IF($I80&lt;&gt;"",MAX($S$5:$S79)+1,"")</f>
        <v/>
      </c>
      <c r="T80" s="196">
        <f>IF($C80="","",IF(COUNTIF($C$6:$C80,$C80)&gt;1,"Doublon possible",""))</f>
        <v/>
      </c>
      <c r="U80" s="163">
        <f>IF($G80="Entretien",COUNTIF($G$6:$G80,"Entretien"),"")</f>
        <v/>
      </c>
      <c r="W80" s="226">
        <f>IF($E80="","",IF(COUNTIF($E$6:$E80,$E80)=1,MAX($W$5:W79)+1,""))</f>
        <v/>
      </c>
    </row>
    <row r="81" ht="15" customHeight="1" s="164">
      <c r="B81" s="228" t="n">
        <v>76</v>
      </c>
      <c r="C81" s="229" t="n"/>
      <c r="D81" s="229" t="n"/>
      <c r="E81" s="229" t="n"/>
      <c r="F81" s="233" t="n"/>
      <c r="G81" s="230" t="n"/>
      <c r="H81" s="229" t="n"/>
      <c r="I81" s="229" t="n"/>
      <c r="J81" s="229" t="n"/>
      <c r="K81" s="229" t="n"/>
      <c r="L81" s="229" t="n"/>
      <c r="M81" s="229" t="n"/>
      <c r="N81" s="196">
        <f>IF($F81="","",TODAY()-$F81)</f>
        <v/>
      </c>
      <c r="O81" s="196">
        <f>IF($F81="","",IF($G81="Entretien","Suivre de près",IF($G81="Offre","Clôturé - Offre",IF($G81="Refusé","Clôturé",IF(AND($G81="Candidature envoyée",(TODAY()-$F81)&gt;14),"A relancer","En cours")))))</f>
        <v/>
      </c>
      <c r="P81" s="163">
        <f>IF($O81="A relancer",COUNTIF($O$6:$O81,"A relancer"),"")</f>
        <v/>
      </c>
      <c r="Q81" s="196">
        <f>IF($F81="","",WEEKNUM($F81,2))</f>
        <v/>
      </c>
      <c r="R81" s="196">
        <f>IF($F81="","",IF($G81="Offre",100,IF($G81="Entretien",90,IF($G81="Refusé",0,MIN(70,20+($N81*2)+IF($I81&lt;&gt;"",10,0)+IF($J81&lt;&gt;"",5,0))))))</f>
        <v/>
      </c>
      <c r="S81" s="169">
        <f>IF($I81&lt;&gt;"",MAX($S$5:$S80)+1,"")</f>
        <v/>
      </c>
      <c r="T81" s="196">
        <f>IF($C81="","",IF(COUNTIF($C$6:$C81,$C81)&gt;1,"Doublon possible",""))</f>
        <v/>
      </c>
      <c r="U81" s="163">
        <f>IF($G81="Entretien",COUNTIF($G$6:$G81,"Entretien"),"")</f>
        <v/>
      </c>
      <c r="W81" s="226">
        <f>IF($E81="","",IF(COUNTIF($E$6:$E81,$E81)=1,MAX($W$5:W80)+1,""))</f>
        <v/>
      </c>
    </row>
    <row r="82" ht="15" customHeight="1" s="164">
      <c r="B82" s="228" t="n">
        <v>77</v>
      </c>
      <c r="C82" s="229" t="n"/>
      <c r="D82" s="229" t="n"/>
      <c r="E82" s="229" t="n"/>
      <c r="F82" s="233" t="n"/>
      <c r="G82" s="230" t="n"/>
      <c r="H82" s="229" t="n"/>
      <c r="I82" s="229" t="n"/>
      <c r="J82" s="229" t="n"/>
      <c r="K82" s="229" t="n"/>
      <c r="L82" s="229" t="n"/>
      <c r="M82" s="229" t="n"/>
      <c r="N82" s="196">
        <f>IF($F82="","",TODAY()-$F82)</f>
        <v/>
      </c>
      <c r="O82" s="196">
        <f>IF($F82="","",IF($G82="Entretien","Suivre de près",IF($G82="Offre","Clôturé - Offre",IF($G82="Refusé","Clôturé",IF(AND($G82="Candidature envoyée",(TODAY()-$F82)&gt;14),"A relancer","En cours")))))</f>
        <v/>
      </c>
      <c r="P82" s="163">
        <f>IF($O82="A relancer",COUNTIF($O$6:$O82,"A relancer"),"")</f>
        <v/>
      </c>
      <c r="Q82" s="196">
        <f>IF($F82="","",WEEKNUM($F82,2))</f>
        <v/>
      </c>
      <c r="R82" s="196">
        <f>IF($F82="","",IF($G82="Offre",100,IF($G82="Entretien",90,IF($G82="Refusé",0,MIN(70,20+($N82*2)+IF($I82&lt;&gt;"",10,0)+IF($J82&lt;&gt;"",5,0))))))</f>
        <v/>
      </c>
      <c r="S82" s="169">
        <f>IF($I82&lt;&gt;"",MAX($S$5:$S81)+1,"")</f>
        <v/>
      </c>
      <c r="T82" s="196">
        <f>IF($C82="","",IF(COUNTIF($C$6:$C82,$C82)&gt;1,"Doublon possible",""))</f>
        <v/>
      </c>
      <c r="U82" s="163">
        <f>IF($G82="Entretien",COUNTIF($G$6:$G82,"Entretien"),"")</f>
        <v/>
      </c>
      <c r="W82" s="226">
        <f>IF($E82="","",IF(COUNTIF($E$6:$E82,$E82)=1,MAX($W$5:W81)+1,""))</f>
        <v/>
      </c>
    </row>
    <row r="83" ht="15" customHeight="1" s="164">
      <c r="B83" s="228" t="n">
        <v>78</v>
      </c>
      <c r="C83" s="229" t="n"/>
      <c r="D83" s="229" t="n"/>
      <c r="E83" s="229" t="n"/>
      <c r="F83" s="233" t="n"/>
      <c r="G83" s="230" t="n"/>
      <c r="H83" s="229" t="n"/>
      <c r="I83" s="229" t="n"/>
      <c r="J83" s="229" t="n"/>
      <c r="K83" s="229" t="n"/>
      <c r="L83" s="229" t="n"/>
      <c r="M83" s="229" t="n"/>
      <c r="N83" s="196">
        <f>IF($F83="","",TODAY()-$F83)</f>
        <v/>
      </c>
      <c r="O83" s="196">
        <f>IF($F83="","",IF($G83="Entretien","Suivre de près",IF($G83="Offre","Clôturé - Offre",IF($G83="Refusé","Clôturé",IF(AND($G83="Candidature envoyée",(TODAY()-$F83)&gt;14),"A relancer","En cours")))))</f>
        <v/>
      </c>
      <c r="P83" s="163">
        <f>IF($O83="A relancer",COUNTIF($O$6:$O83,"A relancer"),"")</f>
        <v/>
      </c>
      <c r="Q83" s="196">
        <f>IF($F83="","",WEEKNUM($F83,2))</f>
        <v/>
      </c>
      <c r="R83" s="196">
        <f>IF($F83="","",IF($G83="Offre",100,IF($G83="Entretien",90,IF($G83="Refusé",0,MIN(70,20+($N83*2)+IF($I83&lt;&gt;"",10,0)+IF($J83&lt;&gt;"",5,0))))))</f>
        <v/>
      </c>
      <c r="S83" s="169">
        <f>IF($I83&lt;&gt;"",MAX($S$5:$S82)+1,"")</f>
        <v/>
      </c>
      <c r="T83" s="196">
        <f>IF($C83="","",IF(COUNTIF($C$6:$C83,$C83)&gt;1,"Doublon possible",""))</f>
        <v/>
      </c>
      <c r="U83" s="163">
        <f>IF($G83="Entretien",COUNTIF($G$6:$G83,"Entretien"),"")</f>
        <v/>
      </c>
      <c r="W83" s="226">
        <f>IF($E83="","",IF(COUNTIF($E$6:$E83,$E83)=1,MAX($W$5:W82)+1,""))</f>
        <v/>
      </c>
    </row>
    <row r="84" ht="15" customHeight="1" s="164">
      <c r="B84" s="228" t="n">
        <v>79</v>
      </c>
      <c r="C84" s="229" t="n"/>
      <c r="D84" s="229" t="n"/>
      <c r="E84" s="229" t="n"/>
      <c r="F84" s="233" t="n"/>
      <c r="G84" s="230" t="n"/>
      <c r="H84" s="229" t="n"/>
      <c r="I84" s="229" t="n"/>
      <c r="J84" s="229" t="n"/>
      <c r="K84" s="229" t="n"/>
      <c r="L84" s="229" t="n"/>
      <c r="M84" s="229" t="n"/>
      <c r="N84" s="196">
        <f>IF($F84="","",TODAY()-$F84)</f>
        <v/>
      </c>
      <c r="O84" s="196">
        <f>IF($F84="","",IF($G84="Entretien","Suivre de près",IF($G84="Offre","Clôturé - Offre",IF($G84="Refusé","Clôturé",IF(AND($G84="Candidature envoyée",(TODAY()-$F84)&gt;14),"A relancer","En cours")))))</f>
        <v/>
      </c>
      <c r="P84" s="163">
        <f>IF($O84="A relancer",COUNTIF($O$6:$O84,"A relancer"),"")</f>
        <v/>
      </c>
      <c r="Q84" s="196">
        <f>IF($F84="","",WEEKNUM($F84,2))</f>
        <v/>
      </c>
      <c r="R84" s="196">
        <f>IF($F84="","",IF($G84="Offre",100,IF($G84="Entretien",90,IF($G84="Refusé",0,MIN(70,20+($N84*2)+IF($I84&lt;&gt;"",10,0)+IF($J84&lt;&gt;"",5,0))))))</f>
        <v/>
      </c>
      <c r="S84" s="169">
        <f>IF($I84&lt;&gt;"",MAX($S$5:$S83)+1,"")</f>
        <v/>
      </c>
      <c r="T84" s="196">
        <f>IF($C84="","",IF(COUNTIF($C$6:$C84,$C84)&gt;1,"Doublon possible",""))</f>
        <v/>
      </c>
      <c r="U84" s="163">
        <f>IF($G84="Entretien",COUNTIF($G$6:$G84,"Entretien"),"")</f>
        <v/>
      </c>
      <c r="W84" s="226">
        <f>IF($E84="","",IF(COUNTIF($E$6:$E84,$E84)=1,MAX($W$5:W83)+1,""))</f>
        <v/>
      </c>
    </row>
    <row r="85" ht="15" customHeight="1" s="164">
      <c r="B85" s="228" t="n">
        <v>80</v>
      </c>
      <c r="C85" s="229" t="n"/>
      <c r="D85" s="229" t="n"/>
      <c r="E85" s="229" t="n"/>
      <c r="F85" s="233" t="n"/>
      <c r="G85" s="230" t="n"/>
      <c r="H85" s="229" t="n"/>
      <c r="I85" s="229" t="n"/>
      <c r="J85" s="229" t="n"/>
      <c r="K85" s="229" t="n"/>
      <c r="L85" s="229" t="n"/>
      <c r="M85" s="229" t="n"/>
      <c r="N85" s="196">
        <f>IF($F85="","",TODAY()-$F85)</f>
        <v/>
      </c>
      <c r="O85" s="196">
        <f>IF($F85="","",IF($G85="Entretien","Suivre de près",IF($G85="Offre","Clôturé - Offre",IF($G85="Refusé","Clôturé",IF(AND($G85="Candidature envoyée",(TODAY()-$F85)&gt;14),"A relancer","En cours")))))</f>
        <v/>
      </c>
      <c r="P85" s="163">
        <f>IF($O85="A relancer",COUNTIF($O$6:$O85,"A relancer"),"")</f>
        <v/>
      </c>
      <c r="Q85" s="196">
        <f>IF($F85="","",WEEKNUM($F85,2))</f>
        <v/>
      </c>
      <c r="R85" s="196">
        <f>IF($F85="","",IF($G85="Offre",100,IF($G85="Entretien",90,IF($G85="Refusé",0,MIN(70,20+($N85*2)+IF($I85&lt;&gt;"",10,0)+IF($J85&lt;&gt;"",5,0))))))</f>
        <v/>
      </c>
      <c r="S85" s="169">
        <f>IF($I85&lt;&gt;"",MAX($S$5:$S84)+1,"")</f>
        <v/>
      </c>
      <c r="T85" s="196">
        <f>IF($C85="","",IF(COUNTIF($C$6:$C85,$C85)&gt;1,"Doublon possible",""))</f>
        <v/>
      </c>
      <c r="U85" s="163">
        <f>IF($G85="Entretien",COUNTIF($G$6:$G85,"Entretien"),"")</f>
        <v/>
      </c>
      <c r="W85" s="226">
        <f>IF($E85="","",IF(COUNTIF($E$6:$E85,$E85)=1,MAX($W$5:W84)+1,""))</f>
        <v/>
      </c>
    </row>
    <row r="86" ht="15" customHeight="1" s="164">
      <c r="B86" s="228" t="n">
        <v>81</v>
      </c>
      <c r="C86" s="229" t="n"/>
      <c r="D86" s="229" t="n"/>
      <c r="E86" s="229" t="n"/>
      <c r="F86" s="233" t="n"/>
      <c r="G86" s="230" t="n"/>
      <c r="H86" s="229" t="n"/>
      <c r="I86" s="229" t="n"/>
      <c r="J86" s="229" t="n"/>
      <c r="K86" s="229" t="n"/>
      <c r="L86" s="229" t="n"/>
      <c r="M86" s="229" t="n"/>
      <c r="N86" s="196">
        <f>IF($F86="","",TODAY()-$F86)</f>
        <v/>
      </c>
      <c r="O86" s="196">
        <f>IF($F86="","",IF($G86="Entretien","Suivre de près",IF($G86="Offre","Clôturé - Offre",IF($G86="Refusé","Clôturé",IF(AND($G86="Candidature envoyée",(TODAY()-$F86)&gt;14),"A relancer","En cours")))))</f>
        <v/>
      </c>
      <c r="P86" s="163">
        <f>IF($O86="A relancer",COUNTIF($O$6:$O86,"A relancer"),"")</f>
        <v/>
      </c>
      <c r="Q86" s="196">
        <f>IF($F86="","",WEEKNUM($F86,2))</f>
        <v/>
      </c>
      <c r="R86" s="196">
        <f>IF($F86="","",IF($G86="Offre",100,IF($G86="Entretien",90,IF($G86="Refusé",0,MIN(70,20+($N86*2)+IF($I86&lt;&gt;"",10,0)+IF($J86&lt;&gt;"",5,0))))))</f>
        <v/>
      </c>
      <c r="S86" s="169">
        <f>IF($I86&lt;&gt;"",MAX($S$5:$S85)+1,"")</f>
        <v/>
      </c>
      <c r="T86" s="196">
        <f>IF($C86="","",IF(COUNTIF($C$6:$C86,$C86)&gt;1,"Doublon possible",""))</f>
        <v/>
      </c>
      <c r="U86" s="163">
        <f>IF($G86="Entretien",COUNTIF($G$6:$G86,"Entretien"),"")</f>
        <v/>
      </c>
      <c r="W86" s="226">
        <f>IF($E86="","",IF(COUNTIF($E$6:$E86,$E86)=1,MAX($W$5:W85)+1,""))</f>
        <v/>
      </c>
    </row>
    <row r="87" ht="15" customHeight="1" s="164">
      <c r="B87" s="228" t="n">
        <v>82</v>
      </c>
      <c r="C87" s="229" t="n"/>
      <c r="D87" s="229" t="n"/>
      <c r="E87" s="229" t="n"/>
      <c r="F87" s="233" t="n"/>
      <c r="G87" s="230" t="n"/>
      <c r="H87" s="229" t="n"/>
      <c r="I87" s="229" t="n"/>
      <c r="J87" s="229" t="n"/>
      <c r="K87" s="229" t="n"/>
      <c r="L87" s="229" t="n"/>
      <c r="M87" s="229" t="n"/>
      <c r="N87" s="196">
        <f>IF($F87="","",TODAY()-$F87)</f>
        <v/>
      </c>
      <c r="O87" s="196">
        <f>IF($F87="","",IF($G87="Entretien","Suivre de près",IF($G87="Offre","Clôturé - Offre",IF($G87="Refusé","Clôturé",IF(AND($G87="Candidature envoyée",(TODAY()-$F87)&gt;14),"A relancer","En cours")))))</f>
        <v/>
      </c>
      <c r="P87" s="163">
        <f>IF($O87="A relancer",COUNTIF($O$6:$O87,"A relancer"),"")</f>
        <v/>
      </c>
      <c r="Q87" s="196">
        <f>IF($F87="","",WEEKNUM($F87,2))</f>
        <v/>
      </c>
      <c r="R87" s="196">
        <f>IF($F87="","",IF($G87="Offre",100,IF($G87="Entretien",90,IF($G87="Refusé",0,MIN(70,20+($N87*2)+IF($I87&lt;&gt;"",10,0)+IF($J87&lt;&gt;"",5,0))))))</f>
        <v/>
      </c>
      <c r="S87" s="169">
        <f>IF($I87&lt;&gt;"",MAX($S$5:$S86)+1,"")</f>
        <v/>
      </c>
      <c r="T87" s="196">
        <f>IF($C87="","",IF(COUNTIF($C$6:$C87,$C87)&gt;1,"Doublon possible",""))</f>
        <v/>
      </c>
      <c r="U87" s="163">
        <f>IF($G87="Entretien",COUNTIF($G$6:$G87,"Entretien"),"")</f>
        <v/>
      </c>
      <c r="W87" s="226">
        <f>IF($E87="","",IF(COUNTIF($E$6:$E87,$E87)=1,MAX($W$5:W86)+1,""))</f>
        <v/>
      </c>
    </row>
    <row r="88" ht="15" customHeight="1" s="164">
      <c r="B88" s="228" t="n">
        <v>83</v>
      </c>
      <c r="C88" s="229" t="n"/>
      <c r="D88" s="229" t="n"/>
      <c r="E88" s="229" t="n"/>
      <c r="F88" s="233" t="n"/>
      <c r="G88" s="230" t="n"/>
      <c r="H88" s="229" t="n"/>
      <c r="I88" s="229" t="n"/>
      <c r="J88" s="229" t="n"/>
      <c r="K88" s="229" t="n"/>
      <c r="L88" s="229" t="n"/>
      <c r="M88" s="229" t="n"/>
      <c r="N88" s="196">
        <f>IF($F88="","",TODAY()-$F88)</f>
        <v/>
      </c>
      <c r="O88" s="196">
        <f>IF($F88="","",IF($G88="Entretien","Suivre de près",IF($G88="Offre","Clôturé - Offre",IF($G88="Refusé","Clôturé",IF(AND($G88="Candidature envoyée",(TODAY()-$F88)&gt;14),"A relancer","En cours")))))</f>
        <v/>
      </c>
      <c r="P88" s="163">
        <f>IF($O88="A relancer",COUNTIF($O$6:$O88,"A relancer"),"")</f>
        <v/>
      </c>
      <c r="Q88" s="196">
        <f>IF($F88="","",WEEKNUM($F88,2))</f>
        <v/>
      </c>
      <c r="R88" s="196">
        <f>IF($F88="","",IF($G88="Offre",100,IF($G88="Entretien",90,IF($G88="Refusé",0,MIN(70,20+($N88*2)+IF($I88&lt;&gt;"",10,0)+IF($J88&lt;&gt;"",5,0))))))</f>
        <v/>
      </c>
      <c r="S88" s="169">
        <f>IF($I88&lt;&gt;"",MAX($S$5:$S87)+1,"")</f>
        <v/>
      </c>
      <c r="T88" s="196">
        <f>IF($C88="","",IF(COUNTIF($C$6:$C88,$C88)&gt;1,"Doublon possible",""))</f>
        <v/>
      </c>
      <c r="U88" s="163">
        <f>IF($G88="Entretien",COUNTIF($G$6:$G88,"Entretien"),"")</f>
        <v/>
      </c>
      <c r="W88" s="226">
        <f>IF($E88="","",IF(COUNTIF($E$6:$E88,$E88)=1,MAX($W$5:W87)+1,""))</f>
        <v/>
      </c>
    </row>
    <row r="89" ht="15" customHeight="1" s="164">
      <c r="B89" s="228" t="n">
        <v>84</v>
      </c>
      <c r="C89" s="229" t="n"/>
      <c r="D89" s="229" t="n"/>
      <c r="E89" s="229" t="n"/>
      <c r="F89" s="233" t="n"/>
      <c r="G89" s="230" t="n"/>
      <c r="H89" s="229" t="n"/>
      <c r="I89" s="229" t="n"/>
      <c r="J89" s="229" t="n"/>
      <c r="K89" s="229" t="n"/>
      <c r="L89" s="229" t="n"/>
      <c r="M89" s="229" t="n"/>
      <c r="N89" s="196">
        <f>IF($F89="","",TODAY()-$F89)</f>
        <v/>
      </c>
      <c r="O89" s="196">
        <f>IF($F89="","",IF($G89="Entretien","Suivre de près",IF($G89="Offre","Clôturé - Offre",IF($G89="Refusé","Clôturé",IF(AND($G89="Candidature envoyée",(TODAY()-$F89)&gt;14),"A relancer","En cours")))))</f>
        <v/>
      </c>
      <c r="P89" s="163">
        <f>IF($O89="A relancer",COUNTIF($O$6:$O89,"A relancer"),"")</f>
        <v/>
      </c>
      <c r="Q89" s="196">
        <f>IF($F89="","",WEEKNUM($F89,2))</f>
        <v/>
      </c>
      <c r="R89" s="196">
        <f>IF($F89="","",IF($G89="Offre",100,IF($G89="Entretien",90,IF($G89="Refusé",0,MIN(70,20+($N89*2)+IF($I89&lt;&gt;"",10,0)+IF($J89&lt;&gt;"",5,0))))))</f>
        <v/>
      </c>
      <c r="S89" s="169">
        <f>IF($I89&lt;&gt;"",MAX($S$5:$S88)+1,"")</f>
        <v/>
      </c>
      <c r="T89" s="196">
        <f>IF($C89="","",IF(COUNTIF($C$6:$C89,$C89)&gt;1,"Doublon possible",""))</f>
        <v/>
      </c>
      <c r="U89" s="163">
        <f>IF($G89="Entretien",COUNTIF($G$6:$G89,"Entretien"),"")</f>
        <v/>
      </c>
      <c r="W89" s="226">
        <f>IF($E89="","",IF(COUNTIF($E$6:$E89,$E89)=1,MAX($W$5:W88)+1,""))</f>
        <v/>
      </c>
    </row>
    <row r="90" ht="15" customHeight="1" s="164">
      <c r="B90" s="228" t="n">
        <v>85</v>
      </c>
      <c r="C90" s="229" t="n"/>
      <c r="D90" s="229" t="n"/>
      <c r="E90" s="229" t="n"/>
      <c r="F90" s="233" t="n"/>
      <c r="G90" s="230" t="n"/>
      <c r="H90" s="229" t="n"/>
      <c r="I90" s="229" t="n"/>
      <c r="J90" s="229" t="n"/>
      <c r="K90" s="229" t="n"/>
      <c r="L90" s="229" t="n"/>
      <c r="M90" s="229" t="n"/>
      <c r="N90" s="196">
        <f>IF($F90="","",TODAY()-$F90)</f>
        <v/>
      </c>
      <c r="O90" s="196">
        <f>IF($F90="","",IF($G90="Entretien","Suivre de près",IF($G90="Offre","Clôturé - Offre",IF($G90="Refusé","Clôturé",IF(AND($G90="Candidature envoyée",(TODAY()-$F90)&gt;14),"A relancer","En cours")))))</f>
        <v/>
      </c>
      <c r="P90" s="163">
        <f>IF($O90="A relancer",COUNTIF($O$6:$O90,"A relancer"),"")</f>
        <v/>
      </c>
      <c r="Q90" s="196">
        <f>IF($F90="","",WEEKNUM($F90,2))</f>
        <v/>
      </c>
      <c r="R90" s="196">
        <f>IF($F90="","",IF($G90="Offre",100,IF($G90="Entretien",90,IF($G90="Refusé",0,MIN(70,20+($N90*2)+IF($I90&lt;&gt;"",10,0)+IF($J90&lt;&gt;"",5,0))))))</f>
        <v/>
      </c>
      <c r="S90" s="169">
        <f>IF($I90&lt;&gt;"",MAX($S$5:$S89)+1,"")</f>
        <v/>
      </c>
      <c r="T90" s="196">
        <f>IF($C90="","",IF(COUNTIF($C$6:$C90,$C90)&gt;1,"Doublon possible",""))</f>
        <v/>
      </c>
      <c r="U90" s="163">
        <f>IF($G90="Entretien",COUNTIF($G$6:$G90,"Entretien"),"")</f>
        <v/>
      </c>
      <c r="W90" s="226">
        <f>IF($E90="","",IF(COUNTIF($E$6:$E90,$E90)=1,MAX($W$5:W89)+1,""))</f>
        <v/>
      </c>
    </row>
    <row r="91" ht="15" customHeight="1" s="164">
      <c r="B91" s="228" t="n">
        <v>86</v>
      </c>
      <c r="C91" s="229" t="n"/>
      <c r="D91" s="229" t="n"/>
      <c r="E91" s="229" t="n"/>
      <c r="F91" s="233" t="n"/>
      <c r="G91" s="230" t="n"/>
      <c r="H91" s="229" t="n"/>
      <c r="I91" s="229" t="n"/>
      <c r="J91" s="229" t="n"/>
      <c r="K91" s="229" t="n"/>
      <c r="L91" s="229" t="n"/>
      <c r="M91" s="229" t="n"/>
      <c r="N91" s="196">
        <f>IF($F91="","",TODAY()-$F91)</f>
        <v/>
      </c>
      <c r="O91" s="196">
        <f>IF($F91="","",IF($G91="Entretien","Suivre de près",IF($G91="Offre","Clôturé - Offre",IF($G91="Refusé","Clôturé",IF(AND($G91="Candidature envoyée",(TODAY()-$F91)&gt;14),"A relancer","En cours")))))</f>
        <v/>
      </c>
      <c r="P91" s="163">
        <f>IF($O91="A relancer",COUNTIF($O$6:$O91,"A relancer"),"")</f>
        <v/>
      </c>
      <c r="Q91" s="196">
        <f>IF($F91="","",WEEKNUM($F91,2))</f>
        <v/>
      </c>
      <c r="R91" s="196">
        <f>IF($F91="","",IF($G91="Offre",100,IF($G91="Entretien",90,IF($G91="Refusé",0,MIN(70,20+($N91*2)+IF($I91&lt;&gt;"",10,0)+IF($J91&lt;&gt;"",5,0))))))</f>
        <v/>
      </c>
      <c r="S91" s="169">
        <f>IF($I91&lt;&gt;"",MAX($S$5:$S90)+1,"")</f>
        <v/>
      </c>
      <c r="T91" s="196">
        <f>IF($C91="","",IF(COUNTIF($C$6:$C91,$C91)&gt;1,"Doublon possible",""))</f>
        <v/>
      </c>
      <c r="U91" s="163">
        <f>IF($G91="Entretien",COUNTIF($G$6:$G91,"Entretien"),"")</f>
        <v/>
      </c>
      <c r="W91" s="226">
        <f>IF($E91="","",IF(COUNTIF($E$6:$E91,$E91)=1,MAX($W$5:W90)+1,""))</f>
        <v/>
      </c>
    </row>
    <row r="92" ht="15" customHeight="1" s="164">
      <c r="B92" s="228" t="n">
        <v>87</v>
      </c>
      <c r="C92" s="229" t="n"/>
      <c r="D92" s="229" t="n"/>
      <c r="E92" s="229" t="n"/>
      <c r="F92" s="233" t="n"/>
      <c r="G92" s="230" t="n"/>
      <c r="H92" s="229" t="n"/>
      <c r="I92" s="229" t="n"/>
      <c r="J92" s="229" t="n"/>
      <c r="K92" s="229" t="n"/>
      <c r="L92" s="229" t="n"/>
      <c r="M92" s="229" t="n"/>
      <c r="N92" s="196">
        <f>IF($F92="","",TODAY()-$F92)</f>
        <v/>
      </c>
      <c r="O92" s="196">
        <f>IF($F92="","",IF($G92="Entretien","Suivre de près",IF($G92="Offre","Clôturé - Offre",IF($G92="Refusé","Clôturé",IF(AND($G92="Candidature envoyée",(TODAY()-$F92)&gt;14),"A relancer","En cours")))))</f>
        <v/>
      </c>
      <c r="P92" s="163">
        <f>IF($O92="A relancer",COUNTIF($O$6:$O92,"A relancer"),"")</f>
        <v/>
      </c>
      <c r="Q92" s="196">
        <f>IF($F92="","",WEEKNUM($F92,2))</f>
        <v/>
      </c>
      <c r="R92" s="196">
        <f>IF($F92="","",IF($G92="Offre",100,IF($G92="Entretien",90,IF($G92="Refusé",0,MIN(70,20+($N92*2)+IF($I92&lt;&gt;"",10,0)+IF($J92&lt;&gt;"",5,0))))))</f>
        <v/>
      </c>
      <c r="S92" s="169">
        <f>IF($I92&lt;&gt;"",MAX($S$5:$S91)+1,"")</f>
        <v/>
      </c>
      <c r="T92" s="196">
        <f>IF($C92="","",IF(COUNTIF($C$6:$C92,$C92)&gt;1,"Doublon possible",""))</f>
        <v/>
      </c>
      <c r="U92" s="163">
        <f>IF($G92="Entretien",COUNTIF($G$6:$G92,"Entretien"),"")</f>
        <v/>
      </c>
      <c r="W92" s="226">
        <f>IF($E92="","",IF(COUNTIF($E$6:$E92,$E92)=1,MAX($W$5:W91)+1,""))</f>
        <v/>
      </c>
    </row>
    <row r="93" ht="15" customHeight="1" s="164">
      <c r="B93" s="228" t="n">
        <v>88</v>
      </c>
      <c r="C93" s="229" t="n"/>
      <c r="D93" s="229" t="n"/>
      <c r="E93" s="229" t="n"/>
      <c r="F93" s="233" t="n"/>
      <c r="G93" s="230" t="n"/>
      <c r="H93" s="229" t="n"/>
      <c r="I93" s="229" t="n"/>
      <c r="J93" s="229" t="n"/>
      <c r="K93" s="229" t="n"/>
      <c r="L93" s="229" t="n"/>
      <c r="M93" s="229" t="n"/>
      <c r="N93" s="196">
        <f>IF($F93="","",TODAY()-$F93)</f>
        <v/>
      </c>
      <c r="O93" s="196">
        <f>IF($F93="","",IF($G93="Entretien","Suivre de près",IF($G93="Offre","Clôturé - Offre",IF($G93="Refusé","Clôturé",IF(AND($G93="Candidature envoyée",(TODAY()-$F93)&gt;14),"A relancer","En cours")))))</f>
        <v/>
      </c>
      <c r="P93" s="163">
        <f>IF($O93="A relancer",COUNTIF($O$6:$O93,"A relancer"),"")</f>
        <v/>
      </c>
      <c r="Q93" s="196">
        <f>IF($F93="","",WEEKNUM($F93,2))</f>
        <v/>
      </c>
      <c r="R93" s="196">
        <f>IF($F93="","",IF($G93="Offre",100,IF($G93="Entretien",90,IF($G93="Refusé",0,MIN(70,20+($N93*2)+IF($I93&lt;&gt;"",10,0)+IF($J93&lt;&gt;"",5,0))))))</f>
        <v/>
      </c>
      <c r="S93" s="169">
        <f>IF($I93&lt;&gt;"",MAX($S$5:$S92)+1,"")</f>
        <v/>
      </c>
      <c r="T93" s="196">
        <f>IF($C93="","",IF(COUNTIF($C$6:$C93,$C93)&gt;1,"Doublon possible",""))</f>
        <v/>
      </c>
      <c r="U93" s="163">
        <f>IF($G93="Entretien",COUNTIF($G$6:$G93,"Entretien"),"")</f>
        <v/>
      </c>
      <c r="W93" s="226">
        <f>IF($E93="","",IF(COUNTIF($E$6:$E93,$E93)=1,MAX($W$5:W92)+1,""))</f>
        <v/>
      </c>
    </row>
    <row r="94" ht="15" customHeight="1" s="164">
      <c r="B94" s="228" t="n">
        <v>89</v>
      </c>
      <c r="C94" s="229" t="n"/>
      <c r="D94" s="229" t="n"/>
      <c r="E94" s="229" t="n"/>
      <c r="F94" s="233" t="n"/>
      <c r="G94" s="230" t="n"/>
      <c r="H94" s="229" t="n"/>
      <c r="I94" s="229" t="n"/>
      <c r="J94" s="229" t="n"/>
      <c r="K94" s="229" t="n"/>
      <c r="L94" s="229" t="n"/>
      <c r="M94" s="229" t="n"/>
      <c r="N94" s="196">
        <f>IF($F94="","",TODAY()-$F94)</f>
        <v/>
      </c>
      <c r="O94" s="196">
        <f>IF($F94="","",IF($G94="Entretien","Suivre de près",IF($G94="Offre","Clôturé - Offre",IF($G94="Refusé","Clôturé",IF(AND($G94="Candidature envoyée",(TODAY()-$F94)&gt;14),"A relancer","En cours")))))</f>
        <v/>
      </c>
      <c r="P94" s="163">
        <f>IF($O94="A relancer",COUNTIF($O$6:$O94,"A relancer"),"")</f>
        <v/>
      </c>
      <c r="Q94" s="196">
        <f>IF($F94="","",WEEKNUM($F94,2))</f>
        <v/>
      </c>
      <c r="R94" s="196">
        <f>IF($F94="","",IF($G94="Offre",100,IF($G94="Entretien",90,IF($G94="Refusé",0,MIN(70,20+($N94*2)+IF($I94&lt;&gt;"",10,0)+IF($J94&lt;&gt;"",5,0))))))</f>
        <v/>
      </c>
      <c r="S94" s="169">
        <f>IF($I94&lt;&gt;"",MAX($S$5:$S93)+1,"")</f>
        <v/>
      </c>
      <c r="T94" s="196">
        <f>IF($C94="","",IF(COUNTIF($C$6:$C94,$C94)&gt;1,"Doublon possible",""))</f>
        <v/>
      </c>
      <c r="U94" s="163">
        <f>IF($G94="Entretien",COUNTIF($G$6:$G94,"Entretien"),"")</f>
        <v/>
      </c>
      <c r="W94" s="226">
        <f>IF($E94="","",IF(COUNTIF($E$6:$E94,$E94)=1,MAX($W$5:W93)+1,""))</f>
        <v/>
      </c>
    </row>
    <row r="95" ht="15" customHeight="1" s="164">
      <c r="B95" s="228" t="n">
        <v>90</v>
      </c>
      <c r="C95" s="229" t="n"/>
      <c r="D95" s="229" t="n"/>
      <c r="E95" s="229" t="n"/>
      <c r="F95" s="233" t="n"/>
      <c r="G95" s="230" t="n"/>
      <c r="H95" s="229" t="n"/>
      <c r="I95" s="229" t="n"/>
      <c r="J95" s="229" t="n"/>
      <c r="K95" s="229" t="n"/>
      <c r="L95" s="229" t="n"/>
      <c r="M95" s="229" t="n"/>
      <c r="N95" s="196">
        <f>IF($F95="","",TODAY()-$F95)</f>
        <v/>
      </c>
      <c r="O95" s="196">
        <f>IF($F95="","",IF($G95="Entretien","Suivre de près",IF($G95="Offre","Clôturé - Offre",IF($G95="Refusé","Clôturé",IF(AND($G95="Candidature envoyée",(TODAY()-$F95)&gt;14),"A relancer","En cours")))))</f>
        <v/>
      </c>
      <c r="P95" s="163">
        <f>IF($O95="A relancer",COUNTIF($O$6:$O95,"A relancer"),"")</f>
        <v/>
      </c>
      <c r="Q95" s="196">
        <f>IF($F95="","",WEEKNUM($F95,2))</f>
        <v/>
      </c>
      <c r="R95" s="196">
        <f>IF($F95="","",IF($G95="Offre",100,IF($G95="Entretien",90,IF($G95="Refusé",0,MIN(70,20+($N95*2)+IF($I95&lt;&gt;"",10,0)+IF($J95&lt;&gt;"",5,0))))))</f>
        <v/>
      </c>
      <c r="S95" s="169">
        <f>IF($I95&lt;&gt;"",MAX($S$5:$S94)+1,"")</f>
        <v/>
      </c>
      <c r="T95" s="196">
        <f>IF($C95="","",IF(COUNTIF($C$6:$C95,$C95)&gt;1,"Doublon possible",""))</f>
        <v/>
      </c>
      <c r="U95" s="163">
        <f>IF($G95="Entretien",COUNTIF($G$6:$G95,"Entretien"),"")</f>
        <v/>
      </c>
      <c r="W95" s="226">
        <f>IF($E95="","",IF(COUNTIF($E$6:$E95,$E95)=1,MAX($W$5:W94)+1,""))</f>
        <v/>
      </c>
    </row>
    <row r="96" ht="15" customHeight="1" s="164">
      <c r="B96" s="228" t="n">
        <v>91</v>
      </c>
      <c r="C96" s="229" t="n"/>
      <c r="D96" s="229" t="n"/>
      <c r="E96" s="229" t="n"/>
      <c r="F96" s="233" t="n"/>
      <c r="G96" s="230" t="n"/>
      <c r="H96" s="229" t="n"/>
      <c r="I96" s="229" t="n"/>
      <c r="J96" s="229" t="n"/>
      <c r="K96" s="229" t="n"/>
      <c r="L96" s="229" t="n"/>
      <c r="M96" s="229" t="n"/>
      <c r="N96" s="196">
        <f>IF($F96="","",TODAY()-$F96)</f>
        <v/>
      </c>
      <c r="O96" s="196">
        <f>IF($F96="","",IF($G96="Entretien","Suivre de près",IF($G96="Offre","Clôturé - Offre",IF($G96="Refusé","Clôturé",IF(AND($G96="Candidature envoyée",(TODAY()-$F96)&gt;14),"A relancer","En cours")))))</f>
        <v/>
      </c>
      <c r="P96" s="163">
        <f>IF($O96="A relancer",COUNTIF($O$6:$O96,"A relancer"),"")</f>
        <v/>
      </c>
      <c r="Q96" s="196">
        <f>IF($F96="","",WEEKNUM($F96,2))</f>
        <v/>
      </c>
      <c r="R96" s="196">
        <f>IF($F96="","",IF($G96="Offre",100,IF($G96="Entretien",90,IF($G96="Refusé",0,MIN(70,20+($N96*2)+IF($I96&lt;&gt;"",10,0)+IF($J96&lt;&gt;"",5,0))))))</f>
        <v/>
      </c>
      <c r="S96" s="169">
        <f>IF($I96&lt;&gt;"",MAX($S$5:$S95)+1,"")</f>
        <v/>
      </c>
      <c r="T96" s="196">
        <f>IF($C96="","",IF(COUNTIF($C$6:$C96,$C96)&gt;1,"Doublon possible",""))</f>
        <v/>
      </c>
      <c r="U96" s="163">
        <f>IF($G96="Entretien",COUNTIF($G$6:$G96,"Entretien"),"")</f>
        <v/>
      </c>
      <c r="W96" s="226">
        <f>IF($E96="","",IF(COUNTIF($E$6:$E96,$E96)=1,MAX($W$5:W95)+1,""))</f>
        <v/>
      </c>
    </row>
    <row r="97" ht="15" customHeight="1" s="164">
      <c r="B97" s="228" t="n">
        <v>92</v>
      </c>
      <c r="C97" s="229" t="n"/>
      <c r="D97" s="229" t="n"/>
      <c r="E97" s="229" t="n"/>
      <c r="F97" s="233" t="n"/>
      <c r="G97" s="230" t="n"/>
      <c r="H97" s="229" t="n"/>
      <c r="I97" s="229" t="n"/>
      <c r="J97" s="229" t="n"/>
      <c r="K97" s="229" t="n"/>
      <c r="L97" s="229" t="n"/>
      <c r="M97" s="229" t="n"/>
      <c r="N97" s="196">
        <f>IF($F97="","",TODAY()-$F97)</f>
        <v/>
      </c>
      <c r="O97" s="196">
        <f>IF($F97="","",IF($G97="Entretien","Suivre de près",IF($G97="Offre","Clôturé - Offre",IF($G97="Refusé","Clôturé",IF(AND($G97="Candidature envoyée",(TODAY()-$F97)&gt;14),"A relancer","En cours")))))</f>
        <v/>
      </c>
      <c r="P97" s="163">
        <f>IF($O97="A relancer",COUNTIF($O$6:$O97,"A relancer"),"")</f>
        <v/>
      </c>
      <c r="Q97" s="196">
        <f>IF($F97="","",WEEKNUM($F97,2))</f>
        <v/>
      </c>
      <c r="R97" s="196">
        <f>IF($F97="","",IF($G97="Offre",100,IF($G97="Entretien",90,IF($G97="Refusé",0,MIN(70,20+($N97*2)+IF($I97&lt;&gt;"",10,0)+IF($J97&lt;&gt;"",5,0))))))</f>
        <v/>
      </c>
      <c r="S97" s="169">
        <f>IF($I97&lt;&gt;"",MAX($S$5:$S96)+1,"")</f>
        <v/>
      </c>
      <c r="T97" s="196">
        <f>IF($C97="","",IF(COUNTIF($C$6:$C97,$C97)&gt;1,"Doublon possible",""))</f>
        <v/>
      </c>
      <c r="U97" s="163">
        <f>IF($G97="Entretien",COUNTIF($G$6:$G97,"Entretien"),"")</f>
        <v/>
      </c>
      <c r="W97" s="226">
        <f>IF($E97="","",IF(COUNTIF($E$6:$E97,$E97)=1,MAX($W$5:W96)+1,""))</f>
        <v/>
      </c>
    </row>
    <row r="98" ht="15" customHeight="1" s="164">
      <c r="B98" s="228" t="n">
        <v>93</v>
      </c>
      <c r="C98" s="229" t="n"/>
      <c r="D98" s="229" t="n"/>
      <c r="E98" s="229" t="n"/>
      <c r="F98" s="233" t="n"/>
      <c r="G98" s="230" t="n"/>
      <c r="H98" s="229" t="n"/>
      <c r="I98" s="229" t="n"/>
      <c r="J98" s="229" t="n"/>
      <c r="K98" s="229" t="n"/>
      <c r="L98" s="229" t="n"/>
      <c r="M98" s="229" t="n"/>
      <c r="N98" s="196">
        <f>IF($F98="","",TODAY()-$F98)</f>
        <v/>
      </c>
      <c r="O98" s="196">
        <f>IF($F98="","",IF($G98="Entretien","Suivre de près",IF($G98="Offre","Clôturé - Offre",IF($G98="Refusé","Clôturé",IF(AND($G98="Candidature envoyée",(TODAY()-$F98)&gt;14),"A relancer","En cours")))))</f>
        <v/>
      </c>
      <c r="P98" s="163">
        <f>IF($O98="A relancer",COUNTIF($O$6:$O98,"A relancer"),"")</f>
        <v/>
      </c>
      <c r="Q98" s="196">
        <f>IF($F98="","",WEEKNUM($F98,2))</f>
        <v/>
      </c>
      <c r="R98" s="196">
        <f>IF($F98="","",IF($G98="Offre",100,IF($G98="Entretien",90,IF($G98="Refusé",0,MIN(70,20+($N98*2)+IF($I98&lt;&gt;"",10,0)+IF($J98&lt;&gt;"",5,0))))))</f>
        <v/>
      </c>
      <c r="S98" s="169">
        <f>IF($I98&lt;&gt;"",MAX($S$5:$S97)+1,"")</f>
        <v/>
      </c>
      <c r="T98" s="196">
        <f>IF($C98="","",IF(COUNTIF($C$6:$C98,$C98)&gt;1,"Doublon possible",""))</f>
        <v/>
      </c>
      <c r="U98" s="163">
        <f>IF($G98="Entretien",COUNTIF($G$6:$G98,"Entretien"),"")</f>
        <v/>
      </c>
      <c r="W98" s="226">
        <f>IF($E98="","",IF(COUNTIF($E$6:$E98,$E98)=1,MAX($W$5:W97)+1,""))</f>
        <v/>
      </c>
    </row>
    <row r="99" ht="15" customHeight="1" s="164">
      <c r="B99" s="228" t="n">
        <v>94</v>
      </c>
      <c r="C99" s="229" t="n"/>
      <c r="D99" s="229" t="n"/>
      <c r="E99" s="229" t="n"/>
      <c r="F99" s="233" t="n"/>
      <c r="G99" s="230" t="n"/>
      <c r="H99" s="229" t="n"/>
      <c r="I99" s="229" t="n"/>
      <c r="J99" s="229" t="n"/>
      <c r="K99" s="229" t="n"/>
      <c r="L99" s="229" t="n"/>
      <c r="M99" s="229" t="n"/>
      <c r="N99" s="196">
        <f>IF($F99="","",TODAY()-$F99)</f>
        <v/>
      </c>
      <c r="O99" s="196">
        <f>IF($F99="","",IF($G99="Entretien","Suivre de près",IF($G99="Offre","Clôturé - Offre",IF($G99="Refusé","Clôturé",IF(AND($G99="Candidature envoyée",(TODAY()-$F99)&gt;14),"A relancer","En cours")))))</f>
        <v/>
      </c>
      <c r="P99" s="163">
        <f>IF($O99="A relancer",COUNTIF($O$6:$O99,"A relancer"),"")</f>
        <v/>
      </c>
      <c r="Q99" s="196">
        <f>IF($F99="","",WEEKNUM($F99,2))</f>
        <v/>
      </c>
      <c r="R99" s="196">
        <f>IF($F99="","",IF($G99="Offre",100,IF($G99="Entretien",90,IF($G99="Refusé",0,MIN(70,20+($N99*2)+IF($I99&lt;&gt;"",10,0)+IF($J99&lt;&gt;"",5,0))))))</f>
        <v/>
      </c>
      <c r="S99" s="169">
        <f>IF($I99&lt;&gt;"",MAX($S$5:$S98)+1,"")</f>
        <v/>
      </c>
      <c r="T99" s="196">
        <f>IF($C99="","",IF(COUNTIF($C$6:$C99,$C99)&gt;1,"Doublon possible",""))</f>
        <v/>
      </c>
      <c r="U99" s="163">
        <f>IF($G99="Entretien",COUNTIF($G$6:$G99,"Entretien"),"")</f>
        <v/>
      </c>
      <c r="W99" s="226">
        <f>IF($E99="","",IF(COUNTIF($E$6:$E99,$E99)=1,MAX($W$5:W98)+1,""))</f>
        <v/>
      </c>
    </row>
    <row r="100" ht="15" customHeight="1" s="164">
      <c r="C100" s="234" t="n"/>
      <c r="D100" s="234" t="n"/>
      <c r="E100" s="234" t="n"/>
      <c r="L100" s="234" t="n"/>
      <c r="N100" s="196">
        <f>IF($F100="","",TODAY()-$F100)</f>
        <v/>
      </c>
      <c r="O100" s="196">
        <f>IF($F100="","",IF($G100="Entretien","Suivre de près",IF($G100="Offre","Clôturé - Offre",IF($G100="Refusé","Clôturé",IF(AND($G100="Candidature envoyée",(TODAY()-$F100)&gt;14),"A relancer","En cours")))))</f>
        <v/>
      </c>
      <c r="P100" s="163">
        <f>IF($O100="A relancer",COUNTIF($O$6:$O100,"A relancer"),"")</f>
        <v/>
      </c>
      <c r="Q100" s="196">
        <f>IF($F100="","",WEEKNUM($F100,2))</f>
        <v/>
      </c>
      <c r="R100" s="196">
        <f>IF($F100="","",IF($G100="Offre",100,IF($G100="Entretien",90,IF($G100="Refusé",0,MIN(70,20+($N100*2)+IF($I100&lt;&gt;"",10,0)+IF($J100&lt;&gt;"",5,0))))))</f>
        <v/>
      </c>
      <c r="S100" s="169">
        <f>IF($I100&lt;&gt;"",MAX($S$5:$S99)+1,"")</f>
        <v/>
      </c>
      <c r="T100" s="196">
        <f>IF($C100="","",IF(COUNTIF($C$6:$C100,$C100)&gt;1,"Doublon possible",""))</f>
        <v/>
      </c>
      <c r="U100" s="163">
        <f>IF($G100="Entretien",COUNTIF($G$6:$G100,"Entretien"),"")</f>
        <v/>
      </c>
      <c r="W100" s="226">
        <f>IF($E100="","",IF(COUNTIF($E$6:$E100,$E100)=1,MAX($W$5:W99)+1,""))</f>
        <v/>
      </c>
    </row>
    <row r="101" ht="15" customHeight="1" s="164">
      <c r="C101" s="234" t="n"/>
      <c r="D101" s="234" t="n"/>
      <c r="E101" s="234" t="n"/>
      <c r="L101" s="234" t="n"/>
      <c r="N101" s="196">
        <f>IF($F101="","",TODAY()-$F101)</f>
        <v/>
      </c>
      <c r="O101" s="196">
        <f>IF($F101="","",IF($G101="Entretien","Suivre de près",IF($G101="Offre","Clôturé - Offre",IF($G101="Refusé","Clôturé",IF(AND($G101="Candidature envoyée",(TODAY()-$F101)&gt;14),"A relancer","En cours")))))</f>
        <v/>
      </c>
      <c r="P101" s="163">
        <f>IF($O101="A relancer",COUNTIF($O$6:$O101,"A relancer"),"")</f>
        <v/>
      </c>
      <c r="Q101" s="196">
        <f>IF($F101="","",WEEKNUM($F101,2))</f>
        <v/>
      </c>
      <c r="R101" s="196">
        <f>IF($F101="","",IF($G101="Offre",100,IF($G101="Entretien",90,IF($G101="Refusé",0,MIN(70,20+($N101*2)+IF($I101&lt;&gt;"",10,0)+IF($J101&lt;&gt;"",5,0))))))</f>
        <v/>
      </c>
      <c r="S101" s="169">
        <f>IF($I101&lt;&gt;"",MAX($S$5:$S100)+1,"")</f>
        <v/>
      </c>
      <c r="T101" s="196">
        <f>IF($C101="","",IF(COUNTIF($C$6:$C101,$C101)&gt;1,"Doublon possible",""))</f>
        <v/>
      </c>
      <c r="U101" s="163">
        <f>IF($G101="Entretien",COUNTIF($G$6:$G101,"Entretien"),"")</f>
        <v/>
      </c>
      <c r="W101" s="226">
        <f>IF($E101="","",IF(COUNTIF($E$6:$E101,$E101)=1,MAX($W$5:W100)+1,""))</f>
        <v/>
      </c>
    </row>
    <row r="102" ht="15" customHeight="1" s="164">
      <c r="C102" s="234" t="n"/>
      <c r="D102" s="234" t="n"/>
      <c r="E102" s="234" t="n"/>
      <c r="L102" s="234" t="n"/>
      <c r="N102" s="196">
        <f>IF($F102="","",TODAY()-$F102)</f>
        <v/>
      </c>
      <c r="O102" s="196">
        <f>IF($F102="","",IF($G102="Entretien","Suivre de près",IF($G102="Offre","Clôturé - Offre",IF($G102="Refusé","Clôturé",IF(AND($G102="Candidature envoyée",(TODAY()-$F102)&gt;14),"A relancer","En cours")))))</f>
        <v/>
      </c>
      <c r="P102" s="163">
        <f>IF($O102="A relancer",COUNTIF($O$6:$O102,"A relancer"),"")</f>
        <v/>
      </c>
      <c r="Q102" s="196">
        <f>IF($F102="","",WEEKNUM($F102,2))</f>
        <v/>
      </c>
      <c r="R102" s="196">
        <f>IF($F102="","",IF($G102="Offre",100,IF($G102="Entretien",90,IF($G102="Refusé",0,MIN(70,20+($N102*2)+IF($I102&lt;&gt;"",10,0)+IF($J102&lt;&gt;"",5,0))))))</f>
        <v/>
      </c>
      <c r="S102" s="169">
        <f>IF($I102&lt;&gt;"",MAX($S$5:$S101)+1,"")</f>
        <v/>
      </c>
      <c r="T102" s="196">
        <f>IF($C102="","",IF(COUNTIF($C$6:$C102,$C102)&gt;1,"Doublon possible",""))</f>
        <v/>
      </c>
      <c r="U102" s="163">
        <f>IF($G102="Entretien",COUNTIF($G$6:$G102,"Entretien"),"")</f>
        <v/>
      </c>
      <c r="W102" s="226">
        <f>IF($E102="","",IF(COUNTIF($E$6:$E102,$E102)=1,MAX($W$5:W101)+1,""))</f>
        <v/>
      </c>
    </row>
    <row r="103" ht="15" customHeight="1" s="164">
      <c r="C103" s="234" t="n"/>
      <c r="D103" s="234" t="n"/>
      <c r="E103" s="234" t="n"/>
      <c r="L103" s="234" t="n"/>
      <c r="N103" s="196">
        <f>IF($F103="","",TODAY()-$F103)</f>
        <v/>
      </c>
      <c r="O103" s="196">
        <f>IF($F103="","",IF($G103="Entretien","Suivre de près",IF($G103="Offre","Clôturé - Offre",IF($G103="Refusé","Clôturé",IF(AND($G103="Candidature envoyée",(TODAY()-$F103)&gt;14),"A relancer","En cours")))))</f>
        <v/>
      </c>
      <c r="P103" s="163">
        <f>IF($O103="A relancer",COUNTIF($O$6:$O103,"A relancer"),"")</f>
        <v/>
      </c>
      <c r="Q103" s="196">
        <f>IF($F103="","",WEEKNUM($F103,2))</f>
        <v/>
      </c>
      <c r="R103" s="196">
        <f>IF($F103="","",IF($G103="Offre",100,IF($G103="Entretien",90,IF($G103="Refusé",0,MIN(70,20+($N103*2)+IF($I103&lt;&gt;"",10,0)+IF($J103&lt;&gt;"",5,0))))))</f>
        <v/>
      </c>
      <c r="S103" s="169">
        <f>IF($I103&lt;&gt;"",MAX($S$5:$S102)+1,"")</f>
        <v/>
      </c>
      <c r="T103" s="196">
        <f>IF($C103="","",IF(COUNTIF($C$6:$C103,$C103)&gt;1,"Doublon possible",""))</f>
        <v/>
      </c>
      <c r="U103" s="163">
        <f>IF($G103="Entretien",COUNTIF($G$6:$G103,"Entretien"),"")</f>
        <v/>
      </c>
      <c r="W103" s="226">
        <f>IF($E103="","",IF(COUNTIF($E$6:$E103,$E103)=1,MAX($W$5:W102)+1,""))</f>
        <v/>
      </c>
    </row>
    <row r="104" ht="15" customHeight="1" s="164">
      <c r="C104" s="234" t="n"/>
      <c r="D104" s="234" t="n"/>
      <c r="E104" s="234" t="n"/>
      <c r="L104" s="234" t="n"/>
      <c r="N104" s="196">
        <f>IF($F104="","",TODAY()-$F104)</f>
        <v/>
      </c>
      <c r="O104" s="196">
        <f>IF($F104="","",IF($G104="Entretien","Suivre de près",IF($G104="Offre","Clôturé - Offre",IF($G104="Refusé","Clôturé",IF(AND($G104="Candidature envoyée",(TODAY()-$F104)&gt;14),"A relancer","En cours")))))</f>
        <v/>
      </c>
      <c r="P104" s="163">
        <f>IF($O104="A relancer",COUNTIF($O$6:$O104,"A relancer"),"")</f>
        <v/>
      </c>
      <c r="Q104" s="196">
        <f>IF($F104="","",WEEKNUM($F104,2))</f>
        <v/>
      </c>
      <c r="R104" s="196">
        <f>IF($F104="","",IF($G104="Offre",100,IF($G104="Entretien",90,IF($G104="Refusé",0,MIN(70,20+($N104*2)+IF($I104&lt;&gt;"",10,0)+IF($J104&lt;&gt;"",5,0))))))</f>
        <v/>
      </c>
      <c r="S104" s="169">
        <f>IF($I104&lt;&gt;"",MAX($S$5:$S103)+1,"")</f>
        <v/>
      </c>
      <c r="T104" s="196">
        <f>IF($C104="","",IF(COUNTIF($C$6:$C104,$C104)&gt;1,"Doublon possible",""))</f>
        <v/>
      </c>
      <c r="U104" s="163">
        <f>IF($G104="Entretien",COUNTIF($G$6:$G104,"Entretien"),"")</f>
        <v/>
      </c>
      <c r="W104" s="226">
        <f>IF($E104="","",IF(COUNTIF($E$6:$E104,$E104)=1,MAX($W$5:W103)+1,""))</f>
        <v/>
      </c>
    </row>
    <row r="105" ht="15" customHeight="1" s="164">
      <c r="C105" s="234" t="n"/>
      <c r="D105" s="234" t="n"/>
      <c r="E105" s="234" t="n"/>
      <c r="L105" s="234" t="n"/>
      <c r="N105" s="196">
        <f>IF($F105="","",TODAY()-$F105)</f>
        <v/>
      </c>
      <c r="O105" s="196">
        <f>IF($F105="","",IF($G105="Entretien","Suivre de près",IF($G105="Offre","Clôturé - Offre",IF($G105="Refusé","Clôturé",IF(AND($G105="Candidature envoyée",(TODAY()-$F105)&gt;14),"A relancer","En cours")))))</f>
        <v/>
      </c>
      <c r="P105" s="163">
        <f>IF($O105="A relancer",COUNTIF($O$6:$O105,"A relancer"),"")</f>
        <v/>
      </c>
      <c r="Q105" s="196">
        <f>IF($F105="","",WEEKNUM($F105,2))</f>
        <v/>
      </c>
      <c r="R105" s="196">
        <f>IF($F105="","",IF($G105="Offre",100,IF($G105="Entretien",90,IF($G105="Refusé",0,MIN(70,20+($N105*2)+IF($I105&lt;&gt;"",10,0)+IF($J105&lt;&gt;"",5,0))))))</f>
        <v/>
      </c>
      <c r="S105" s="169">
        <f>IF($I105&lt;&gt;"",MAX($S$5:$S104)+1,"")</f>
        <v/>
      </c>
      <c r="T105" s="196">
        <f>IF($C105="","",IF(COUNTIF($C$6:$C105,$C105)&gt;1,"Doublon possible",""))</f>
        <v/>
      </c>
      <c r="U105" s="163">
        <f>IF($G105="Entretien",COUNTIF($G$6:$G105,"Entretien"),"")</f>
        <v/>
      </c>
      <c r="W105" s="226">
        <f>IF($E105="","",IF(COUNTIF($E$6:$E105,$E105)=1,MAX($W$5:W104)+1,""))</f>
        <v/>
      </c>
    </row>
    <row r="106" ht="15" customHeight="1" s="164">
      <c r="C106" s="234" t="n"/>
      <c r="D106" s="234" t="n"/>
      <c r="E106" s="234" t="n"/>
      <c r="L106" s="234" t="n"/>
      <c r="N106" s="196">
        <f>IF($F106="","",TODAY()-$F106)</f>
        <v/>
      </c>
      <c r="O106" s="196">
        <f>IF($F106="","",IF($G106="Entretien","Suivre de près",IF($G106="Offre","Clôturé - Offre",IF($G106="Refusé","Clôturé",IF(AND($G106="Candidature envoyée",(TODAY()-$F106)&gt;14),"A relancer","En cours")))))</f>
        <v/>
      </c>
      <c r="P106" s="163">
        <f>IF($O106="A relancer",COUNTIF($O$6:$O106,"A relancer"),"")</f>
        <v/>
      </c>
      <c r="Q106" s="196">
        <f>IF($F106="","",WEEKNUM($F106,2))</f>
        <v/>
      </c>
      <c r="R106" s="196">
        <f>IF($F106="","",IF($G106="Offre",100,IF($G106="Entretien",90,IF($G106="Refusé",0,MIN(70,20+($N106*2)+IF($I106&lt;&gt;"",10,0)+IF($J106&lt;&gt;"",5,0))))))</f>
        <v/>
      </c>
      <c r="S106" s="169">
        <f>IF($I106&lt;&gt;"",MAX($S$5:$S105)+1,"")</f>
        <v/>
      </c>
      <c r="T106" s="196">
        <f>IF($C106="","",IF(COUNTIF($C$6:$C106,$C106)&gt;1,"Doublon possible",""))</f>
        <v/>
      </c>
      <c r="U106" s="163">
        <f>IF($G106="Entretien",COUNTIF($G$6:$G106,"Entretien"),"")</f>
        <v/>
      </c>
      <c r="W106" s="226">
        <f>IF($E106="","",IF(COUNTIF($E$6:$E106,$E106)=1,MAX($W$5:W105)+1,""))</f>
        <v/>
      </c>
    </row>
    <row r="107" ht="15" customHeight="1" s="164">
      <c r="C107" s="234" t="n"/>
      <c r="D107" s="234" t="n"/>
      <c r="E107" s="234" t="n"/>
      <c r="L107" s="234" t="n"/>
      <c r="N107" s="196">
        <f>IF($F107="","",TODAY()-$F107)</f>
        <v/>
      </c>
      <c r="O107" s="196">
        <f>IF($F107="","",IF($G107="Entretien","Suivre de près",IF($G107="Offre","Clôturé - Offre",IF($G107="Refusé","Clôturé",IF(AND($G107="Candidature envoyée",(TODAY()-$F107)&gt;14),"A relancer","En cours")))))</f>
        <v/>
      </c>
      <c r="P107" s="163">
        <f>IF($O107="A relancer",COUNTIF($O$6:$O107,"A relancer"),"")</f>
        <v/>
      </c>
      <c r="Q107" s="196">
        <f>IF($F107="","",WEEKNUM($F107,2))</f>
        <v/>
      </c>
      <c r="R107" s="196">
        <f>IF($F107="","",IF($G107="Offre",100,IF($G107="Entretien",90,IF($G107="Refusé",0,MIN(70,20+($N107*2)+IF($I107&lt;&gt;"",10,0)+IF($J107&lt;&gt;"",5,0))))))</f>
        <v/>
      </c>
      <c r="S107" s="169">
        <f>IF($I107&lt;&gt;"",MAX($S$5:$S106)+1,"")</f>
        <v/>
      </c>
      <c r="T107" s="196">
        <f>IF($C107="","",IF(COUNTIF($C$6:$C107,$C107)&gt;1,"Doublon possible",""))</f>
        <v/>
      </c>
      <c r="U107" s="163">
        <f>IF($G107="Entretien",COUNTIF($G$6:$G107,"Entretien"),"")</f>
        <v/>
      </c>
      <c r="W107" s="226">
        <f>IF($E107="","",IF(COUNTIF($E$6:$E107,$E107)=1,MAX($W$5:W106)+1,""))</f>
        <v/>
      </c>
    </row>
    <row r="108" ht="15" customHeight="1" s="164">
      <c r="C108" s="234" t="n"/>
      <c r="D108" s="234" t="n"/>
      <c r="E108" s="234" t="n"/>
      <c r="L108" s="234" t="n"/>
      <c r="N108" s="196">
        <f>IF($F108="","",TODAY()-$F108)</f>
        <v/>
      </c>
      <c r="O108" s="196">
        <f>IF($F108="","",IF($G108="Entretien","Suivre de près",IF($G108="Offre","Clôturé - Offre",IF($G108="Refusé","Clôturé",IF(AND($G108="Candidature envoyée",(TODAY()-$F108)&gt;14),"A relancer","En cours")))))</f>
        <v/>
      </c>
      <c r="P108" s="163">
        <f>IF($O108="A relancer",COUNTIF($O$6:$O108,"A relancer"),"")</f>
        <v/>
      </c>
      <c r="Q108" s="196">
        <f>IF($F108="","",WEEKNUM($F108,2))</f>
        <v/>
      </c>
      <c r="R108" s="196">
        <f>IF($F108="","",IF($G108="Offre",100,IF($G108="Entretien",90,IF($G108="Refusé",0,MIN(70,20+($N108*2)+IF($I108&lt;&gt;"",10,0)+IF($J108&lt;&gt;"",5,0))))))</f>
        <v/>
      </c>
      <c r="S108" s="169">
        <f>IF($I108&lt;&gt;"",MAX($S$5:$S107)+1,"")</f>
        <v/>
      </c>
      <c r="T108" s="196">
        <f>IF($C108="","",IF(COUNTIF($C$6:$C108,$C108)&gt;1,"Doublon possible",""))</f>
        <v/>
      </c>
      <c r="U108" s="163">
        <f>IF($G108="Entretien",COUNTIF($G$6:$G108,"Entretien"),"")</f>
        <v/>
      </c>
      <c r="W108" s="226">
        <f>IF($E108="","",IF(COUNTIF($E$6:$E108,$E108)=1,MAX($W$5:W107)+1,""))</f>
        <v/>
      </c>
    </row>
    <row r="109" ht="15" customHeight="1" s="164">
      <c r="C109" s="234" t="n"/>
      <c r="D109" s="234" t="n"/>
      <c r="E109" s="234" t="n"/>
      <c r="L109" s="234" t="n"/>
      <c r="N109" s="196">
        <f>IF($F109="","",TODAY()-$F109)</f>
        <v/>
      </c>
      <c r="O109" s="196">
        <f>IF($F109="","",IF($G109="Entretien","Suivre de près",IF($G109="Offre","Clôturé - Offre",IF($G109="Refusé","Clôturé",IF(AND($G109="Candidature envoyée",(TODAY()-$F109)&gt;14),"A relancer","En cours")))))</f>
        <v/>
      </c>
      <c r="P109" s="163">
        <f>IF($O109="A relancer",COUNTIF($O$6:$O109,"A relancer"),"")</f>
        <v/>
      </c>
      <c r="Q109" s="196">
        <f>IF($F109="","",WEEKNUM($F109,2))</f>
        <v/>
      </c>
      <c r="R109" s="196">
        <f>IF($F109="","",IF($G109="Offre",100,IF($G109="Entretien",90,IF($G109="Refusé",0,MIN(70,20+($N109*2)+IF($I109&lt;&gt;"",10,0)+IF($J109&lt;&gt;"",5,0))))))</f>
        <v/>
      </c>
      <c r="S109" s="169">
        <f>IF($I109&lt;&gt;"",MAX($S$5:$S108)+1,"")</f>
        <v/>
      </c>
      <c r="T109" s="196">
        <f>IF($C109="","",IF(COUNTIF($C$6:$C109,$C109)&gt;1,"Doublon possible",""))</f>
        <v/>
      </c>
      <c r="U109" s="163">
        <f>IF($G109="Entretien",COUNTIF($G$6:$G109,"Entretien"),"")</f>
        <v/>
      </c>
      <c r="W109" s="226">
        <f>IF($E109="","",IF(COUNTIF($E$6:$E109,$E109)=1,MAX($W$5:W108)+1,""))</f>
        <v/>
      </c>
    </row>
    <row r="110" ht="15" customHeight="1" s="164">
      <c r="C110" s="234" t="n"/>
      <c r="D110" s="234" t="n"/>
      <c r="E110" s="234" t="n"/>
      <c r="L110" s="234" t="n"/>
      <c r="N110" s="196">
        <f>IF($F110="","",TODAY()-$F110)</f>
        <v/>
      </c>
      <c r="O110" s="196">
        <f>IF($F110="","",IF($G110="Entretien","Suivre de près",IF($G110="Offre","Clôturé - Offre",IF($G110="Refusé","Clôturé",IF(AND($G110="Candidature envoyée",(TODAY()-$F110)&gt;14),"A relancer","En cours")))))</f>
        <v/>
      </c>
      <c r="P110" s="163">
        <f>IF($O110="A relancer",COUNTIF($O$6:$O110,"A relancer"),"")</f>
        <v/>
      </c>
      <c r="Q110" s="196">
        <f>IF($F110="","",WEEKNUM($F110,2))</f>
        <v/>
      </c>
      <c r="R110" s="196">
        <f>IF($F110="","",IF($G110="Offre",100,IF($G110="Entretien",90,IF($G110="Refusé",0,MIN(70,20+($N110*2)+IF($I110&lt;&gt;"",10,0)+IF($J110&lt;&gt;"",5,0))))))</f>
        <v/>
      </c>
      <c r="S110" s="169">
        <f>IF($I110&lt;&gt;"",MAX($S$5:$S109)+1,"")</f>
        <v/>
      </c>
      <c r="T110" s="196">
        <f>IF($C110="","",IF(COUNTIF($C$6:$C110,$C110)&gt;1,"Doublon possible",""))</f>
        <v/>
      </c>
      <c r="U110" s="163">
        <f>IF($G110="Entretien",COUNTIF($G$6:$G110,"Entretien"),"")</f>
        <v/>
      </c>
      <c r="W110" s="226">
        <f>IF($E110="","",IF(COUNTIF($E$6:$E110,$E110)=1,MAX($W$5:W109)+1,""))</f>
        <v/>
      </c>
    </row>
    <row r="111" ht="15" customHeight="1" s="164">
      <c r="C111" s="234" t="n"/>
      <c r="D111" s="234" t="n"/>
      <c r="E111" s="234" t="n"/>
      <c r="L111" s="234" t="n"/>
      <c r="N111" s="196">
        <f>IF($F111="","",TODAY()-$F111)</f>
        <v/>
      </c>
      <c r="O111" s="196">
        <f>IF($F111="","",IF($G111="Entretien","Suivre de près",IF($G111="Offre","Clôturé - Offre",IF($G111="Refusé","Clôturé",IF(AND($G111="Candidature envoyée",(TODAY()-$F111)&gt;14),"A relancer","En cours")))))</f>
        <v/>
      </c>
      <c r="P111" s="163">
        <f>IF($O111="A relancer",COUNTIF($O$6:$O111,"A relancer"),"")</f>
        <v/>
      </c>
      <c r="Q111" s="196">
        <f>IF($F111="","",WEEKNUM($F111,2))</f>
        <v/>
      </c>
      <c r="R111" s="196">
        <f>IF($F111="","",IF($G111="Offre",100,IF($G111="Entretien",90,IF($G111="Refusé",0,MIN(70,20+($N111*2)+IF($I111&lt;&gt;"",10,0)+IF($J111&lt;&gt;"",5,0))))))</f>
        <v/>
      </c>
      <c r="S111" s="169">
        <f>IF($I111&lt;&gt;"",MAX($S$5:$S110)+1,"")</f>
        <v/>
      </c>
      <c r="T111" s="196">
        <f>IF($C111="","",IF(COUNTIF($C$6:$C111,$C111)&gt;1,"Doublon possible",""))</f>
        <v/>
      </c>
      <c r="U111" s="163">
        <f>IF($G111="Entretien",COUNTIF($G$6:$G111,"Entretien"),"")</f>
        <v/>
      </c>
      <c r="W111" s="226">
        <f>IF($E111="","",IF(COUNTIF($E$6:$E111,$E111)=1,MAX($W$5:W110)+1,""))</f>
        <v/>
      </c>
    </row>
    <row r="112" ht="15" customHeight="1" s="164">
      <c r="C112" s="234" t="n"/>
      <c r="D112" s="234" t="n"/>
      <c r="E112" s="234" t="n"/>
      <c r="L112" s="234" t="n"/>
      <c r="N112" s="196">
        <f>IF($F112="","",TODAY()-$F112)</f>
        <v/>
      </c>
      <c r="O112" s="196">
        <f>IF($F112="","",IF($G112="Entretien","Suivre de près",IF($G112="Offre","Clôturé - Offre",IF($G112="Refusé","Clôturé",IF(AND($G112="Candidature envoyée",(TODAY()-$F112)&gt;14),"A relancer","En cours")))))</f>
        <v/>
      </c>
      <c r="P112" s="163">
        <f>IF($O112="A relancer",COUNTIF($O$6:$O112,"A relancer"),"")</f>
        <v/>
      </c>
      <c r="Q112" s="196">
        <f>IF($F112="","",WEEKNUM($F112,2))</f>
        <v/>
      </c>
      <c r="R112" s="196">
        <f>IF($F112="","",IF($G112="Offre",100,IF($G112="Entretien",90,IF($G112="Refusé",0,MIN(70,20+($N112*2)+IF($I112&lt;&gt;"",10,0)+IF($J112&lt;&gt;"",5,0))))))</f>
        <v/>
      </c>
      <c r="S112" s="169">
        <f>IF($I112&lt;&gt;"",MAX($S$5:$S111)+1,"")</f>
        <v/>
      </c>
      <c r="T112" s="196">
        <f>IF($C112="","",IF(COUNTIF($C$6:$C112,$C112)&gt;1,"Doublon possible",""))</f>
        <v/>
      </c>
      <c r="U112" s="163">
        <f>IF($G112="Entretien",COUNTIF($G$6:$G112,"Entretien"),"")</f>
        <v/>
      </c>
      <c r="W112" s="226">
        <f>IF($E112="","",IF(COUNTIF($E$6:$E112,$E112)=1,MAX($W$5:W111)+1,""))</f>
        <v/>
      </c>
    </row>
    <row r="113" ht="15" customHeight="1" s="164">
      <c r="C113" s="234" t="n"/>
      <c r="D113" s="234" t="n"/>
      <c r="E113" s="234" t="n"/>
      <c r="L113" s="234" t="n"/>
      <c r="N113" s="196">
        <f>IF($F113="","",TODAY()-$F113)</f>
        <v/>
      </c>
      <c r="O113" s="196">
        <f>IF($F113="","",IF($G113="Entretien","Suivre de près",IF($G113="Offre","Clôturé - Offre",IF($G113="Refusé","Clôturé",IF(AND($G113="Candidature envoyée",(TODAY()-$F113)&gt;14),"A relancer","En cours")))))</f>
        <v/>
      </c>
      <c r="P113" s="163">
        <f>IF($O113="A relancer",COUNTIF($O$6:$O113,"A relancer"),"")</f>
        <v/>
      </c>
      <c r="Q113" s="196">
        <f>IF($F113="","",WEEKNUM($F113,2))</f>
        <v/>
      </c>
      <c r="R113" s="196">
        <f>IF($F113="","",IF($G113="Offre",100,IF($G113="Entretien",90,IF($G113="Refusé",0,MIN(70,20+($N113*2)+IF($I113&lt;&gt;"",10,0)+IF($J113&lt;&gt;"",5,0))))))</f>
        <v/>
      </c>
      <c r="S113" s="169">
        <f>IF($I113&lt;&gt;"",MAX($S$5:$S112)+1,"")</f>
        <v/>
      </c>
      <c r="T113" s="196">
        <f>IF($C113="","",IF(COUNTIF($C$6:$C113,$C113)&gt;1,"Doublon possible",""))</f>
        <v/>
      </c>
      <c r="U113" s="163">
        <f>IF($G113="Entretien",COUNTIF($G$6:$G113,"Entretien"),"")</f>
        <v/>
      </c>
      <c r="W113" s="226">
        <f>IF($E113="","",IF(COUNTIF($E$6:$E113,$E113)=1,MAX($W$5:W112)+1,""))</f>
        <v/>
      </c>
    </row>
    <row r="114" ht="15" customHeight="1" s="164">
      <c r="C114" s="234" t="n"/>
      <c r="D114" s="234" t="n"/>
      <c r="E114" s="234" t="n"/>
      <c r="L114" s="234" t="n"/>
      <c r="N114" s="196">
        <f>IF($F114="","",TODAY()-$F114)</f>
        <v/>
      </c>
      <c r="O114" s="196">
        <f>IF($F114="","",IF($G114="Entretien","Suivre de près",IF($G114="Offre","Clôturé - Offre",IF($G114="Refusé","Clôturé",IF(AND($G114="Candidature envoyée",(TODAY()-$F114)&gt;14),"A relancer","En cours")))))</f>
        <v/>
      </c>
      <c r="P114" s="163">
        <f>IF($O114="A relancer",COUNTIF($O$6:$O114,"A relancer"),"")</f>
        <v/>
      </c>
      <c r="Q114" s="196">
        <f>IF($F114="","",WEEKNUM($F114,2))</f>
        <v/>
      </c>
      <c r="R114" s="196">
        <f>IF($F114="","",IF($G114="Offre",100,IF($G114="Entretien",90,IF($G114="Refusé",0,MIN(70,20+($N114*2)+IF($I114&lt;&gt;"",10,0)+IF($J114&lt;&gt;"",5,0))))))</f>
        <v/>
      </c>
      <c r="S114" s="169">
        <f>IF($I114&lt;&gt;"",MAX($S$5:$S113)+1,"")</f>
        <v/>
      </c>
      <c r="T114" s="196">
        <f>IF($C114="","",IF(COUNTIF($C$6:$C114,$C114)&gt;1,"Doublon possible",""))</f>
        <v/>
      </c>
      <c r="U114" s="163">
        <f>IF($G114="Entretien",COUNTIF($G$6:$G114,"Entretien"),"")</f>
        <v/>
      </c>
      <c r="W114" s="226">
        <f>IF($E114="","",IF(COUNTIF($E$6:$E114,$E114)=1,MAX($W$5:W113)+1,""))</f>
        <v/>
      </c>
    </row>
    <row r="115" ht="15" customHeight="1" s="164">
      <c r="C115" s="234" t="n"/>
      <c r="D115" s="234" t="n"/>
      <c r="E115" s="234" t="n"/>
      <c r="L115" s="234" t="n"/>
      <c r="N115" s="196">
        <f>IF($F115="","",TODAY()-$F115)</f>
        <v/>
      </c>
      <c r="O115" s="196">
        <f>IF($F115="","",IF($G115="Entretien","Suivre de près",IF($G115="Offre","Clôturé - Offre",IF($G115="Refusé","Clôturé",IF(AND($G115="Candidature envoyée",(TODAY()-$F115)&gt;14),"A relancer","En cours")))))</f>
        <v/>
      </c>
      <c r="P115" s="163">
        <f>IF($O115="A relancer",COUNTIF($O$6:$O115,"A relancer"),"")</f>
        <v/>
      </c>
      <c r="Q115" s="196">
        <f>IF($F115="","",WEEKNUM($F115,2))</f>
        <v/>
      </c>
      <c r="R115" s="196">
        <f>IF($F115="","",IF($G115="Offre",100,IF($G115="Entretien",90,IF($G115="Refusé",0,MIN(70,20+($N115*2)+IF($I115&lt;&gt;"",10,0)+IF($J115&lt;&gt;"",5,0))))))</f>
        <v/>
      </c>
      <c r="S115" s="169">
        <f>IF($I115&lt;&gt;"",MAX($S$5:$S114)+1,"")</f>
        <v/>
      </c>
      <c r="T115" s="196">
        <f>IF($C115="","",IF(COUNTIF($C$6:$C115,$C115)&gt;1,"Doublon possible",""))</f>
        <v/>
      </c>
      <c r="U115" s="163">
        <f>IF($G115="Entretien",COUNTIF($G$6:$G115,"Entretien"),"")</f>
        <v/>
      </c>
      <c r="W115" s="226">
        <f>IF($E115="","",IF(COUNTIF($E$6:$E115,$E115)=1,MAX($W$5:W114)+1,""))</f>
        <v/>
      </c>
    </row>
    <row r="116" ht="15" customHeight="1" s="164">
      <c r="C116" s="234" t="n"/>
      <c r="D116" s="234" t="n"/>
      <c r="E116" s="234" t="n"/>
      <c r="L116" s="234" t="n"/>
      <c r="N116" s="196">
        <f>IF($F116="","",TODAY()-$F116)</f>
        <v/>
      </c>
      <c r="O116" s="196">
        <f>IF($F116="","",IF($G116="Entretien","Suivre de près",IF($G116="Offre","Clôturé - Offre",IF($G116="Refusé","Clôturé",IF(AND($G116="Candidature envoyée",(TODAY()-$F116)&gt;14),"A relancer","En cours")))))</f>
        <v/>
      </c>
      <c r="P116" s="163">
        <f>IF($O116="A relancer",COUNTIF($O$6:$O116,"A relancer"),"")</f>
        <v/>
      </c>
      <c r="Q116" s="196">
        <f>IF($F116="","",WEEKNUM($F116,2))</f>
        <v/>
      </c>
      <c r="R116" s="196">
        <f>IF($F116="","",IF($G116="Offre",100,IF($G116="Entretien",90,IF($G116="Refusé",0,MIN(70,20+($N116*2)+IF($I116&lt;&gt;"",10,0)+IF($J116&lt;&gt;"",5,0))))))</f>
        <v/>
      </c>
      <c r="S116" s="169">
        <f>IF($I116&lt;&gt;"",MAX($S$5:$S115)+1,"")</f>
        <v/>
      </c>
      <c r="T116" s="196">
        <f>IF($C116="","",IF(COUNTIF($C$6:$C116,$C116)&gt;1,"Doublon possible",""))</f>
        <v/>
      </c>
      <c r="U116" s="163">
        <f>IF($G116="Entretien",COUNTIF($G$6:$G116,"Entretien"),"")</f>
        <v/>
      </c>
      <c r="W116" s="226">
        <f>IF($E116="","",IF(COUNTIF($E$6:$E116,$E116)=1,MAX($W$5:W115)+1,""))</f>
        <v/>
      </c>
    </row>
    <row r="117" ht="15" customHeight="1" s="164">
      <c r="C117" s="234" t="n"/>
      <c r="D117" s="234" t="n"/>
      <c r="E117" s="234" t="n"/>
      <c r="L117" s="234" t="n"/>
      <c r="N117" s="196">
        <f>IF($F117="","",TODAY()-$F117)</f>
        <v/>
      </c>
      <c r="O117" s="196">
        <f>IF($F117="","",IF($G117="Entretien","Suivre de près",IF($G117="Offre","Clôturé - Offre",IF($G117="Refusé","Clôturé",IF(AND($G117="Candidature envoyée",(TODAY()-$F117)&gt;14),"A relancer","En cours")))))</f>
        <v/>
      </c>
      <c r="P117" s="163">
        <f>IF($O117="A relancer",COUNTIF($O$6:$O117,"A relancer"),"")</f>
        <v/>
      </c>
      <c r="Q117" s="196">
        <f>IF($F117="","",WEEKNUM($F117,2))</f>
        <v/>
      </c>
      <c r="R117" s="196">
        <f>IF($F117="","",IF($G117="Offre",100,IF($G117="Entretien",90,IF($G117="Refusé",0,MIN(70,20+($N117*2)+IF($I117&lt;&gt;"",10,0)+IF($J117&lt;&gt;"",5,0))))))</f>
        <v/>
      </c>
      <c r="S117" s="169">
        <f>IF($I117&lt;&gt;"",MAX($S$5:$S116)+1,"")</f>
        <v/>
      </c>
      <c r="T117" s="196">
        <f>IF($C117="","",IF(COUNTIF($C$6:$C117,$C117)&gt;1,"Doublon possible",""))</f>
        <v/>
      </c>
      <c r="U117" s="163">
        <f>IF($G117="Entretien",COUNTIF($G$6:$G117,"Entretien"),"")</f>
        <v/>
      </c>
      <c r="W117" s="226">
        <f>IF($E117="","",IF(COUNTIF($E$6:$E117,$E117)=1,MAX($W$5:W116)+1,""))</f>
        <v/>
      </c>
    </row>
    <row r="118" ht="15" customHeight="1" s="164">
      <c r="C118" s="234" t="n"/>
      <c r="D118" s="234" t="n"/>
      <c r="E118" s="234" t="n"/>
      <c r="L118" s="234" t="n"/>
      <c r="N118" s="196">
        <f>IF($F118="","",TODAY()-$F118)</f>
        <v/>
      </c>
      <c r="O118" s="196">
        <f>IF($F118="","",IF($G118="Entretien","Suivre de près",IF($G118="Offre","Clôturé - Offre",IF($G118="Refusé","Clôturé",IF(AND($G118="Candidature envoyée",(TODAY()-$F118)&gt;14),"A relancer","En cours")))))</f>
        <v/>
      </c>
      <c r="P118" s="163">
        <f>IF($O118="A relancer",COUNTIF($O$6:$O118,"A relancer"),"")</f>
        <v/>
      </c>
      <c r="Q118" s="196">
        <f>IF($F118="","",WEEKNUM($F118,2))</f>
        <v/>
      </c>
      <c r="R118" s="196">
        <f>IF($F118="","",IF($G118="Offre",100,IF($G118="Entretien",90,IF($G118="Refusé",0,MIN(70,20+($N118*2)+IF($I118&lt;&gt;"",10,0)+IF($J118&lt;&gt;"",5,0))))))</f>
        <v/>
      </c>
      <c r="S118" s="169">
        <f>IF($I118&lt;&gt;"",MAX($S$5:$S117)+1,"")</f>
        <v/>
      </c>
      <c r="T118" s="196">
        <f>IF($C118="","",IF(COUNTIF($C$6:$C118,$C118)&gt;1,"Doublon possible",""))</f>
        <v/>
      </c>
      <c r="U118" s="163">
        <f>IF($G118="Entretien",COUNTIF($G$6:$G118,"Entretien"),"")</f>
        <v/>
      </c>
      <c r="W118" s="226">
        <f>IF($E118="","",IF(COUNTIF($E$6:$E118,$E118)=1,MAX($W$5:W117)+1,""))</f>
        <v/>
      </c>
    </row>
    <row r="119" ht="15" customHeight="1" s="164">
      <c r="C119" s="234" t="n"/>
      <c r="D119" s="234" t="n"/>
      <c r="E119" s="234" t="n"/>
      <c r="L119" s="234" t="n"/>
      <c r="N119" s="196">
        <f>IF($F119="","",TODAY()-$F119)</f>
        <v/>
      </c>
      <c r="O119" s="196">
        <f>IF($F119="","",IF($G119="Entretien","Suivre de près",IF($G119="Offre","Clôturé - Offre",IF($G119="Refusé","Clôturé",IF(AND($G119="Candidature envoyée",(TODAY()-$F119)&gt;14),"A relancer","En cours")))))</f>
        <v/>
      </c>
      <c r="P119" s="163">
        <f>IF($O119="A relancer",COUNTIF($O$6:$O119,"A relancer"),"")</f>
        <v/>
      </c>
      <c r="Q119" s="196">
        <f>IF($F119="","",WEEKNUM($F119,2))</f>
        <v/>
      </c>
      <c r="R119" s="196">
        <f>IF($F119="","",IF($G119="Offre",100,IF($G119="Entretien",90,IF($G119="Refusé",0,MIN(70,20+($N119*2)+IF($I119&lt;&gt;"",10,0)+IF($J119&lt;&gt;"",5,0))))))</f>
        <v/>
      </c>
      <c r="S119" s="169">
        <f>IF($I119&lt;&gt;"",MAX($S$5:$S118)+1,"")</f>
        <v/>
      </c>
      <c r="T119" s="196">
        <f>IF($C119="","",IF(COUNTIF($C$6:$C119,$C119)&gt;1,"Doublon possible",""))</f>
        <v/>
      </c>
      <c r="U119" s="163">
        <f>IF($G119="Entretien",COUNTIF($G$6:$G119,"Entretien"),"")</f>
        <v/>
      </c>
      <c r="W119" s="226">
        <f>IF($E119="","",IF(COUNTIF($E$6:$E119,$E119)=1,MAX($W$5:W118)+1,""))</f>
        <v/>
      </c>
    </row>
    <row r="120" ht="15" customHeight="1" s="164">
      <c r="C120" s="234" t="n"/>
      <c r="D120" s="234" t="n"/>
      <c r="E120" s="234" t="n"/>
      <c r="L120" s="234" t="n"/>
      <c r="N120" s="196">
        <f>IF($F120="","",TODAY()-$F120)</f>
        <v/>
      </c>
      <c r="O120" s="196">
        <f>IF($F120="","",IF($G120="Entretien","Suivre de près",IF($G120="Offre","Clôturé - Offre",IF($G120="Refusé","Clôturé",IF(AND($G120="Candidature envoyée",(TODAY()-$F120)&gt;14),"A relancer","En cours")))))</f>
        <v/>
      </c>
      <c r="P120" s="163">
        <f>IF($O120="A relancer",COUNTIF($O$6:$O120,"A relancer"),"")</f>
        <v/>
      </c>
      <c r="Q120" s="196">
        <f>IF($F120="","",WEEKNUM($F120,2))</f>
        <v/>
      </c>
      <c r="R120" s="196">
        <f>IF($F120="","",IF($G120="Offre",100,IF($G120="Entretien",90,IF($G120="Refusé",0,MIN(70,20+($N120*2)+IF($I120&lt;&gt;"",10,0)+IF($J120&lt;&gt;"",5,0))))))</f>
        <v/>
      </c>
      <c r="S120" s="169">
        <f>IF($I120&lt;&gt;"",MAX($S$5:$S119)+1,"")</f>
        <v/>
      </c>
      <c r="T120" s="196">
        <f>IF($C120="","",IF(COUNTIF($C$6:$C120,$C120)&gt;1,"Doublon possible",""))</f>
        <v/>
      </c>
      <c r="U120" s="163">
        <f>IF($G120="Entretien",COUNTIF($G$6:$G120,"Entretien"),"")</f>
        <v/>
      </c>
      <c r="W120" s="226">
        <f>IF($E120="","",IF(COUNTIF($E$6:$E120,$E120)=1,MAX($W$5:W119)+1,""))</f>
        <v/>
      </c>
    </row>
    <row r="121" ht="15" customHeight="1" s="164">
      <c r="C121" s="234" t="n"/>
      <c r="D121" s="234" t="n"/>
      <c r="E121" s="234" t="n"/>
      <c r="L121" s="234" t="n"/>
      <c r="N121" s="196">
        <f>IF($F121="","",TODAY()-$F121)</f>
        <v/>
      </c>
      <c r="O121" s="196">
        <f>IF($F121="","",IF($G121="Entretien","Suivre de près",IF($G121="Offre","Clôturé - Offre",IF($G121="Refusé","Clôturé",IF(AND($G121="Candidature envoyée",(TODAY()-$F121)&gt;14),"A relancer","En cours")))))</f>
        <v/>
      </c>
      <c r="P121" s="163">
        <f>IF($O121="A relancer",COUNTIF($O$6:$O121,"A relancer"),"")</f>
        <v/>
      </c>
      <c r="Q121" s="196">
        <f>IF($F121="","",WEEKNUM($F121,2))</f>
        <v/>
      </c>
      <c r="R121" s="196">
        <f>IF($F121="","",IF($G121="Offre",100,IF($G121="Entretien",90,IF($G121="Refusé",0,MIN(70,20+($N121*2)+IF($I121&lt;&gt;"",10,0)+IF($J121&lt;&gt;"",5,0))))))</f>
        <v/>
      </c>
      <c r="S121" s="169">
        <f>IF($I121&lt;&gt;"",MAX($S$5:$S120)+1,"")</f>
        <v/>
      </c>
      <c r="T121" s="196">
        <f>IF($C121="","",IF(COUNTIF($C$6:$C121,$C121)&gt;1,"Doublon possible",""))</f>
        <v/>
      </c>
      <c r="U121" s="163">
        <f>IF($G121="Entretien",COUNTIF($G$6:$G121,"Entretien"),"")</f>
        <v/>
      </c>
      <c r="W121" s="226">
        <f>IF($E121="","",IF(COUNTIF($E$6:$E121,$E121)=1,MAX($W$5:W120)+1,""))</f>
        <v/>
      </c>
    </row>
    <row r="122" ht="15" customHeight="1" s="164">
      <c r="C122" s="234" t="n"/>
      <c r="D122" s="234" t="n"/>
      <c r="E122" s="234" t="n"/>
      <c r="L122" s="234" t="n"/>
      <c r="N122" s="196">
        <f>IF($F122="","",TODAY()-$F122)</f>
        <v/>
      </c>
      <c r="O122" s="196">
        <f>IF($F122="","",IF($G122="Entretien","Suivre de près",IF($G122="Offre","Clôturé - Offre",IF($G122="Refusé","Clôturé",IF(AND($G122="Candidature envoyée",(TODAY()-$F122)&gt;14),"A relancer","En cours")))))</f>
        <v/>
      </c>
      <c r="P122" s="163">
        <f>IF($O122="A relancer",COUNTIF($O$6:$O122,"A relancer"),"")</f>
        <v/>
      </c>
      <c r="Q122" s="196">
        <f>IF($F122="","",WEEKNUM($F122,2))</f>
        <v/>
      </c>
      <c r="R122" s="196">
        <f>IF($F122="","",IF($G122="Offre",100,IF($G122="Entretien",90,IF($G122="Refusé",0,MIN(70,20+($N122*2)+IF($I122&lt;&gt;"",10,0)+IF($J122&lt;&gt;"",5,0))))))</f>
        <v/>
      </c>
      <c r="S122" s="169">
        <f>IF($I122&lt;&gt;"",MAX($S$5:$S121)+1,"")</f>
        <v/>
      </c>
      <c r="T122" s="196">
        <f>IF($C122="","",IF(COUNTIF($C$6:$C122,$C122)&gt;1,"Doublon possible",""))</f>
        <v/>
      </c>
      <c r="U122" s="163">
        <f>IF($G122="Entretien",COUNTIF($G$6:$G122,"Entretien"),"")</f>
        <v/>
      </c>
      <c r="W122" s="226">
        <f>IF($E122="","",IF(COUNTIF($E$6:$E122,$E122)=1,MAX($W$5:W121)+1,""))</f>
        <v/>
      </c>
    </row>
    <row r="123" ht="15" customHeight="1" s="164">
      <c r="C123" s="234" t="n"/>
      <c r="D123" s="234" t="n"/>
      <c r="E123" s="234" t="n"/>
      <c r="L123" s="234" t="n"/>
      <c r="N123" s="196">
        <f>IF($F123="","",TODAY()-$F123)</f>
        <v/>
      </c>
      <c r="O123" s="196">
        <f>IF($F123="","",IF($G123="Entretien","Suivre de près",IF($G123="Offre","Clôturé - Offre",IF($G123="Refusé","Clôturé",IF(AND($G123="Candidature envoyée",(TODAY()-$F123)&gt;14),"A relancer","En cours")))))</f>
        <v/>
      </c>
      <c r="P123" s="163">
        <f>IF($O123="A relancer",COUNTIF($O$6:$O123,"A relancer"),"")</f>
        <v/>
      </c>
      <c r="Q123" s="196">
        <f>IF($F123="","",WEEKNUM($F123,2))</f>
        <v/>
      </c>
      <c r="R123" s="196">
        <f>IF($F123="","",IF($G123="Offre",100,IF($G123="Entretien",90,IF($G123="Refusé",0,MIN(70,20+($N123*2)+IF($I123&lt;&gt;"",10,0)+IF($J123&lt;&gt;"",5,0))))))</f>
        <v/>
      </c>
      <c r="S123" s="169">
        <f>IF($I123&lt;&gt;"",MAX($S$5:$S122)+1,"")</f>
        <v/>
      </c>
      <c r="T123" s="196">
        <f>IF($C123="","",IF(COUNTIF($C$6:$C123,$C123)&gt;1,"Doublon possible",""))</f>
        <v/>
      </c>
      <c r="U123" s="163">
        <f>IF($G123="Entretien",COUNTIF($G$6:$G123,"Entretien"),"")</f>
        <v/>
      </c>
      <c r="W123" s="226">
        <f>IF($E123="","",IF(COUNTIF($E$6:$E123,$E123)=1,MAX($W$5:W122)+1,""))</f>
        <v/>
      </c>
    </row>
    <row r="124" ht="15" customHeight="1" s="164">
      <c r="C124" s="234" t="n"/>
      <c r="D124" s="234" t="n"/>
      <c r="E124" s="234" t="n"/>
      <c r="L124" s="234" t="n"/>
      <c r="N124" s="196">
        <f>IF($F124="","",TODAY()-$F124)</f>
        <v/>
      </c>
      <c r="O124" s="196">
        <f>IF($F124="","",IF($G124="Entretien","Suivre de près",IF($G124="Offre","Clôturé - Offre",IF($G124="Refusé","Clôturé",IF(AND($G124="Candidature envoyée",(TODAY()-$F124)&gt;14),"A relancer","En cours")))))</f>
        <v/>
      </c>
      <c r="P124" s="163">
        <f>IF($O124="A relancer",COUNTIF($O$6:$O124,"A relancer"),"")</f>
        <v/>
      </c>
      <c r="Q124" s="196">
        <f>IF($F124="","",WEEKNUM($F124,2))</f>
        <v/>
      </c>
      <c r="R124" s="196">
        <f>IF($F124="","",IF($G124="Offre",100,IF($G124="Entretien",90,IF($G124="Refusé",0,MIN(70,20+($N124*2)+IF($I124&lt;&gt;"",10,0)+IF($J124&lt;&gt;"",5,0))))))</f>
        <v/>
      </c>
      <c r="S124" s="169">
        <f>IF($I124&lt;&gt;"",MAX($S$5:$S123)+1,"")</f>
        <v/>
      </c>
      <c r="T124" s="196">
        <f>IF($C124="","",IF(COUNTIF($C$6:$C124,$C124)&gt;1,"Doublon possible",""))</f>
        <v/>
      </c>
      <c r="U124" s="163">
        <f>IF($G124="Entretien",COUNTIF($G$6:$G124,"Entretien"),"")</f>
        <v/>
      </c>
      <c r="W124" s="226">
        <f>IF($E124="","",IF(COUNTIF($E$6:$E124,$E124)=1,MAX($W$5:W123)+1,""))</f>
        <v/>
      </c>
    </row>
    <row r="125" ht="15" customHeight="1" s="164">
      <c r="C125" s="234" t="n"/>
      <c r="D125" s="234" t="n"/>
      <c r="E125" s="234" t="n"/>
      <c r="L125" s="234" t="n"/>
      <c r="N125" s="196">
        <f>IF($F125="","",TODAY()-$F125)</f>
        <v/>
      </c>
      <c r="O125" s="196">
        <f>IF($F125="","",IF($G125="Entretien","Suivre de près",IF($G125="Offre","Clôturé - Offre",IF($G125="Refusé","Clôturé",IF(AND($G125="Candidature envoyée",(TODAY()-$F125)&gt;14),"A relancer","En cours")))))</f>
        <v/>
      </c>
      <c r="P125" s="163">
        <f>IF($O125="A relancer",COUNTIF($O$6:$O125,"A relancer"),"")</f>
        <v/>
      </c>
      <c r="Q125" s="196">
        <f>IF($F125="","",WEEKNUM($F125,2))</f>
        <v/>
      </c>
      <c r="R125" s="196">
        <f>IF($F125="","",IF($G125="Offre",100,IF($G125="Entretien",90,IF($G125="Refusé",0,MIN(70,20+($N125*2)+IF($I125&lt;&gt;"",10,0)+IF($J125&lt;&gt;"",5,0))))))</f>
        <v/>
      </c>
      <c r="S125" s="169">
        <f>IF($I125&lt;&gt;"",MAX($S$5:$S124)+1,"")</f>
        <v/>
      </c>
      <c r="T125" s="196">
        <f>IF($C125="","",IF(COUNTIF($C$6:$C125,$C125)&gt;1,"Doublon possible",""))</f>
        <v/>
      </c>
      <c r="U125" s="163">
        <f>IF($G125="Entretien",COUNTIF($G$6:$G125,"Entretien"),"")</f>
        <v/>
      </c>
      <c r="W125" s="226">
        <f>IF($E125="","",IF(COUNTIF($E$6:$E125,$E125)=1,MAX($W$5:W124)+1,""))</f>
        <v/>
      </c>
    </row>
    <row r="126" ht="15" customHeight="1" s="164">
      <c r="C126" s="234" t="n"/>
      <c r="D126" s="234" t="n"/>
      <c r="E126" s="234" t="n"/>
      <c r="L126" s="234" t="n"/>
      <c r="N126" s="196">
        <f>IF($F126="","",TODAY()-$F126)</f>
        <v/>
      </c>
      <c r="O126" s="196">
        <f>IF($F126="","",IF($G126="Entretien","Suivre de près",IF($G126="Offre","Clôturé - Offre",IF($G126="Refusé","Clôturé",IF(AND($G126="Candidature envoyée",(TODAY()-$F126)&gt;14),"A relancer","En cours")))))</f>
        <v/>
      </c>
      <c r="P126" s="163">
        <f>IF($O126="A relancer",COUNTIF($O$6:$O126,"A relancer"),"")</f>
        <v/>
      </c>
      <c r="Q126" s="196">
        <f>IF($F126="","",WEEKNUM($F126,2))</f>
        <v/>
      </c>
      <c r="R126" s="196">
        <f>IF($F126="","",IF($G126="Offre",100,IF($G126="Entretien",90,IF($G126="Refusé",0,MIN(70,20+($N126*2)+IF($I126&lt;&gt;"",10,0)+IF($J126&lt;&gt;"",5,0))))))</f>
        <v/>
      </c>
      <c r="S126" s="169">
        <f>IF($I126&lt;&gt;"",MAX($S$5:$S125)+1,"")</f>
        <v/>
      </c>
      <c r="T126" s="196">
        <f>IF($C126="","",IF(COUNTIF($C$6:$C126,$C126)&gt;1,"Doublon possible",""))</f>
        <v/>
      </c>
      <c r="U126" s="163">
        <f>IF($G126="Entretien",COUNTIF($G$6:$G126,"Entretien"),"")</f>
        <v/>
      </c>
      <c r="W126" s="226">
        <f>IF($E126="","",IF(COUNTIF($E$6:$E126,$E126)=1,MAX($W$5:W125)+1,""))</f>
        <v/>
      </c>
    </row>
    <row r="127" ht="15" customHeight="1" s="164">
      <c r="C127" s="234" t="n"/>
      <c r="D127" s="234" t="n"/>
      <c r="E127" s="234" t="n"/>
      <c r="L127" s="234" t="n"/>
      <c r="N127" s="196">
        <f>IF($F127="","",TODAY()-$F127)</f>
        <v/>
      </c>
      <c r="O127" s="196">
        <f>IF($F127="","",IF($G127="Entretien","Suivre de près",IF($G127="Offre","Clôturé - Offre",IF($G127="Refusé","Clôturé",IF(AND($G127="Candidature envoyée",(TODAY()-$F127)&gt;14),"A relancer","En cours")))))</f>
        <v/>
      </c>
      <c r="P127" s="163">
        <f>IF($O127="A relancer",COUNTIF($O$6:$O127,"A relancer"),"")</f>
        <v/>
      </c>
      <c r="Q127" s="196">
        <f>IF($F127="","",WEEKNUM($F127,2))</f>
        <v/>
      </c>
      <c r="R127" s="196">
        <f>IF($F127="","",IF($G127="Offre",100,IF($G127="Entretien",90,IF($G127="Refusé",0,MIN(70,20+($N127*2)+IF($I127&lt;&gt;"",10,0)+IF($J127&lt;&gt;"",5,0))))))</f>
        <v/>
      </c>
      <c r="S127" s="169">
        <f>IF($I127&lt;&gt;"",MAX($S$5:$S126)+1,"")</f>
        <v/>
      </c>
      <c r="T127" s="196">
        <f>IF($C127="","",IF(COUNTIF($C$6:$C127,$C127)&gt;1,"Doublon possible",""))</f>
        <v/>
      </c>
      <c r="U127" s="163">
        <f>IF($G127="Entretien",COUNTIF($G$6:$G127,"Entretien"),"")</f>
        <v/>
      </c>
      <c r="W127" s="226">
        <f>IF($E127="","",IF(COUNTIF($E$6:$E127,$E127)=1,MAX($W$5:W126)+1,""))</f>
        <v/>
      </c>
    </row>
    <row r="128" ht="15" customHeight="1" s="164">
      <c r="C128" s="234" t="n"/>
      <c r="D128" s="234" t="n"/>
      <c r="E128" s="234" t="n"/>
      <c r="L128" s="234" t="n"/>
      <c r="N128" s="196">
        <f>IF($F128="","",TODAY()-$F128)</f>
        <v/>
      </c>
      <c r="O128" s="196">
        <f>IF($F128="","",IF($G128="Entretien","Suivre de près",IF($G128="Offre","Clôturé - Offre",IF($G128="Refusé","Clôturé",IF(AND($G128="Candidature envoyée",(TODAY()-$F128)&gt;14),"A relancer","En cours")))))</f>
        <v/>
      </c>
      <c r="P128" s="163">
        <f>IF($O128="A relancer",COUNTIF($O$6:$O128,"A relancer"),"")</f>
        <v/>
      </c>
      <c r="Q128" s="196">
        <f>IF($F128="","",WEEKNUM($F128,2))</f>
        <v/>
      </c>
      <c r="R128" s="196">
        <f>IF($F128="","",IF($G128="Offre",100,IF($G128="Entretien",90,IF($G128="Refusé",0,MIN(70,20+($N128*2)+IF($I128&lt;&gt;"",10,0)+IF($J128&lt;&gt;"",5,0))))))</f>
        <v/>
      </c>
      <c r="S128" s="169">
        <f>IF($I128&lt;&gt;"",MAX($S$5:$S127)+1,"")</f>
        <v/>
      </c>
      <c r="T128" s="196">
        <f>IF($C128="","",IF(COUNTIF($C$6:$C128,$C128)&gt;1,"Doublon possible",""))</f>
        <v/>
      </c>
      <c r="U128" s="163">
        <f>IF($G128="Entretien",COUNTIF($G$6:$G128,"Entretien"),"")</f>
        <v/>
      </c>
      <c r="W128" s="226">
        <f>IF($E128="","",IF(COUNTIF($E$6:$E128,$E128)=1,MAX($W$5:W127)+1,""))</f>
        <v/>
      </c>
    </row>
    <row r="129" ht="15" customHeight="1" s="164">
      <c r="C129" s="234" t="n"/>
      <c r="D129" s="234" t="n"/>
      <c r="E129" s="234" t="n"/>
      <c r="L129" s="234" t="n"/>
      <c r="N129" s="196">
        <f>IF($F129="","",TODAY()-$F129)</f>
        <v/>
      </c>
      <c r="O129" s="196">
        <f>IF($F129="","",IF($G129="Entretien","Suivre de près",IF($G129="Offre","Clôturé - Offre",IF($G129="Refusé","Clôturé",IF(AND($G129="Candidature envoyée",(TODAY()-$F129)&gt;14),"A relancer","En cours")))))</f>
        <v/>
      </c>
      <c r="P129" s="163">
        <f>IF($O129="A relancer",COUNTIF($O$6:$O129,"A relancer"),"")</f>
        <v/>
      </c>
      <c r="Q129" s="196">
        <f>IF($F129="","",WEEKNUM($F129,2))</f>
        <v/>
      </c>
      <c r="R129" s="196">
        <f>IF($F129="","",IF($G129="Offre",100,IF($G129="Entretien",90,IF($G129="Refusé",0,MIN(70,20+($N129*2)+IF($I129&lt;&gt;"",10,0)+IF($J129&lt;&gt;"",5,0))))))</f>
        <v/>
      </c>
      <c r="S129" s="169">
        <f>IF($I129&lt;&gt;"",MAX($S$5:$S128)+1,"")</f>
        <v/>
      </c>
      <c r="T129" s="196">
        <f>IF($C129="","",IF(COUNTIF($C$6:$C129,$C129)&gt;1,"Doublon possible",""))</f>
        <v/>
      </c>
      <c r="U129" s="163">
        <f>IF($G129="Entretien",COUNTIF($G$6:$G129,"Entretien"),"")</f>
        <v/>
      </c>
      <c r="W129" s="226">
        <f>IF($E129="","",IF(COUNTIF($E$6:$E129,$E129)=1,MAX($W$5:W128)+1,""))</f>
        <v/>
      </c>
    </row>
    <row r="130" ht="15" customHeight="1" s="164">
      <c r="C130" s="234" t="n"/>
      <c r="D130" s="234" t="n"/>
      <c r="E130" s="234" t="n"/>
      <c r="L130" s="234" t="n"/>
      <c r="N130" s="196">
        <f>IF($F130="","",TODAY()-$F130)</f>
        <v/>
      </c>
      <c r="O130" s="196">
        <f>IF($F130="","",IF($G130="Entretien","Suivre de près",IF($G130="Offre","Clôturé - Offre",IF($G130="Refusé","Clôturé",IF(AND($G130="Candidature envoyée",(TODAY()-$F130)&gt;14),"A relancer","En cours")))))</f>
        <v/>
      </c>
      <c r="P130" s="163">
        <f>IF($O130="A relancer",COUNTIF($O$6:$O130,"A relancer"),"")</f>
        <v/>
      </c>
      <c r="Q130" s="196">
        <f>IF($F130="","",WEEKNUM($F130,2))</f>
        <v/>
      </c>
      <c r="R130" s="196">
        <f>IF($F130="","",IF($G130="Offre",100,IF($G130="Entretien",90,IF($G130="Refusé",0,MIN(70,20+($N130*2)+IF($I130&lt;&gt;"",10,0)+IF($J130&lt;&gt;"",5,0))))))</f>
        <v/>
      </c>
      <c r="S130" s="169">
        <f>IF($I130&lt;&gt;"",MAX($S$5:$S129)+1,"")</f>
        <v/>
      </c>
      <c r="T130" s="196">
        <f>IF($C130="","",IF(COUNTIF($C$6:$C130,$C130)&gt;1,"Doublon possible",""))</f>
        <v/>
      </c>
      <c r="U130" s="163">
        <f>IF($G130="Entretien",COUNTIF($G$6:$G130,"Entretien"),"")</f>
        <v/>
      </c>
      <c r="W130" s="226">
        <f>IF($E130="","",IF(COUNTIF($E$6:$E130,$E130)=1,MAX($W$5:W129)+1,""))</f>
        <v/>
      </c>
    </row>
    <row r="131" ht="15" customHeight="1" s="164">
      <c r="C131" s="234" t="n"/>
      <c r="D131" s="234" t="n"/>
      <c r="E131" s="234" t="n"/>
      <c r="L131" s="234" t="n"/>
      <c r="N131" s="196">
        <f>IF($F131="","",TODAY()-$F131)</f>
        <v/>
      </c>
      <c r="O131" s="196">
        <f>IF($F131="","",IF($G131="Entretien","Suivre de près",IF($G131="Offre","Clôturé - Offre",IF($G131="Refusé","Clôturé",IF(AND($G131="Candidature envoyée",(TODAY()-$F131)&gt;14),"A relancer","En cours")))))</f>
        <v/>
      </c>
      <c r="P131" s="163">
        <f>IF($O131="A relancer",COUNTIF($O$6:$O131,"A relancer"),"")</f>
        <v/>
      </c>
      <c r="Q131" s="196">
        <f>IF($F131="","",WEEKNUM($F131,2))</f>
        <v/>
      </c>
      <c r="R131" s="196">
        <f>IF($F131="","",IF($G131="Offre",100,IF($G131="Entretien",90,IF($G131="Refusé",0,MIN(70,20+($N131*2)+IF($I131&lt;&gt;"",10,0)+IF($J131&lt;&gt;"",5,0))))))</f>
        <v/>
      </c>
      <c r="S131" s="169">
        <f>IF($I131&lt;&gt;"",MAX($S$5:$S130)+1,"")</f>
        <v/>
      </c>
      <c r="T131" s="196">
        <f>IF($C131="","",IF(COUNTIF($C$6:$C131,$C131)&gt;1,"Doublon possible",""))</f>
        <v/>
      </c>
      <c r="U131" s="163">
        <f>IF($G131="Entretien",COUNTIF($G$6:$G131,"Entretien"),"")</f>
        <v/>
      </c>
      <c r="W131" s="226">
        <f>IF($E131="","",IF(COUNTIF($E$6:$E131,$E131)=1,MAX($W$5:W130)+1,""))</f>
        <v/>
      </c>
    </row>
    <row r="132" ht="15" customHeight="1" s="164">
      <c r="C132" s="234" t="n"/>
      <c r="D132" s="234" t="n"/>
      <c r="E132" s="234" t="n"/>
      <c r="L132" s="234" t="n"/>
      <c r="N132" s="196">
        <f>IF($F132="","",TODAY()-$F132)</f>
        <v/>
      </c>
      <c r="O132" s="196">
        <f>IF($F132="","",IF($G132="Entretien","Suivre de près",IF($G132="Offre","Clôturé - Offre",IF($G132="Refusé","Clôturé",IF(AND($G132="Candidature envoyée",(TODAY()-$F132)&gt;14),"A relancer","En cours")))))</f>
        <v/>
      </c>
      <c r="P132" s="163">
        <f>IF($O132="A relancer",COUNTIF($O$6:$O132,"A relancer"),"")</f>
        <v/>
      </c>
      <c r="Q132" s="196">
        <f>IF($F132="","",WEEKNUM($F132,2))</f>
        <v/>
      </c>
      <c r="R132" s="196">
        <f>IF($F132="","",IF($G132="Offre",100,IF($G132="Entretien",90,IF($G132="Refusé",0,MIN(70,20+($N132*2)+IF($I132&lt;&gt;"",10,0)+IF($J132&lt;&gt;"",5,0))))))</f>
        <v/>
      </c>
      <c r="S132" s="169">
        <f>IF($I132&lt;&gt;"",MAX($S$5:$S131)+1,"")</f>
        <v/>
      </c>
      <c r="T132" s="196">
        <f>IF($C132="","",IF(COUNTIF($C$6:$C132,$C132)&gt;1,"Doublon possible",""))</f>
        <v/>
      </c>
      <c r="U132" s="163">
        <f>IF($G132="Entretien",COUNTIF($G$6:$G132,"Entretien"),"")</f>
        <v/>
      </c>
      <c r="W132" s="226">
        <f>IF($E132="","",IF(COUNTIF($E$6:$E132,$E132)=1,MAX($W$5:W131)+1,""))</f>
        <v/>
      </c>
    </row>
    <row r="133" ht="15" customHeight="1" s="164">
      <c r="C133" s="234" t="n"/>
      <c r="D133" s="234" t="n"/>
      <c r="E133" s="234" t="n"/>
      <c r="L133" s="234" t="n"/>
      <c r="N133" s="196">
        <f>IF($F133="","",TODAY()-$F133)</f>
        <v/>
      </c>
      <c r="O133" s="196">
        <f>IF($F133="","",IF($G133="Entretien","Suivre de près",IF($G133="Offre","Clôturé - Offre",IF($G133="Refusé","Clôturé",IF(AND($G133="Candidature envoyée",(TODAY()-$F133)&gt;14),"A relancer","En cours")))))</f>
        <v/>
      </c>
      <c r="P133" s="163">
        <f>IF($O133="A relancer",COUNTIF($O$6:$O133,"A relancer"),"")</f>
        <v/>
      </c>
      <c r="Q133" s="196">
        <f>IF($F133="","",WEEKNUM($F133,2))</f>
        <v/>
      </c>
      <c r="R133" s="196">
        <f>IF($F133="","",IF($G133="Offre",100,IF($G133="Entretien",90,IF($G133="Refusé",0,MIN(70,20+($N133*2)+IF($I133&lt;&gt;"",10,0)+IF($J133&lt;&gt;"",5,0))))))</f>
        <v/>
      </c>
      <c r="S133" s="169">
        <f>IF($I133&lt;&gt;"",MAX($S$5:$S132)+1,"")</f>
        <v/>
      </c>
      <c r="T133" s="196">
        <f>IF($C133="","",IF(COUNTIF($C$6:$C133,$C133)&gt;1,"Doublon possible",""))</f>
        <v/>
      </c>
      <c r="U133" s="163">
        <f>IF($G133="Entretien",COUNTIF($G$6:$G133,"Entretien"),"")</f>
        <v/>
      </c>
      <c r="W133" s="226">
        <f>IF($E133="","",IF(COUNTIF($E$6:$E133,$E133)=1,MAX($W$5:W132)+1,""))</f>
        <v/>
      </c>
    </row>
    <row r="134" ht="15" customHeight="1" s="164">
      <c r="C134" s="234" t="n"/>
      <c r="D134" s="234" t="n"/>
      <c r="E134" s="234" t="n"/>
      <c r="L134" s="234" t="n"/>
      <c r="N134" s="196">
        <f>IF($F134="","",TODAY()-$F134)</f>
        <v/>
      </c>
      <c r="O134" s="196">
        <f>IF($F134="","",IF($G134="Entretien","Suivre de près",IF($G134="Offre","Clôturé - Offre",IF($G134="Refusé","Clôturé",IF(AND($G134="Candidature envoyée",(TODAY()-$F134)&gt;14),"A relancer","En cours")))))</f>
        <v/>
      </c>
      <c r="P134" s="163">
        <f>IF($O134="A relancer",COUNTIF($O$6:$O134,"A relancer"),"")</f>
        <v/>
      </c>
      <c r="Q134" s="196">
        <f>IF($F134="","",WEEKNUM($F134,2))</f>
        <v/>
      </c>
      <c r="R134" s="196">
        <f>IF($F134="","",IF($G134="Offre",100,IF($G134="Entretien",90,IF($G134="Refusé",0,MIN(70,20+($N134*2)+IF($I134&lt;&gt;"",10,0)+IF($J134&lt;&gt;"",5,0))))))</f>
        <v/>
      </c>
      <c r="S134" s="169">
        <f>IF($I134&lt;&gt;"",MAX($S$5:$S133)+1,"")</f>
        <v/>
      </c>
      <c r="T134" s="196">
        <f>IF($C134="","",IF(COUNTIF($C$6:$C134,$C134)&gt;1,"Doublon possible",""))</f>
        <v/>
      </c>
      <c r="U134" s="163">
        <f>IF($G134="Entretien",COUNTIF($G$6:$G134,"Entretien"),"")</f>
        <v/>
      </c>
      <c r="W134" s="226">
        <f>IF($E134="","",IF(COUNTIF($E$6:$E134,$E134)=1,MAX($W$5:W133)+1,""))</f>
        <v/>
      </c>
    </row>
    <row r="135" ht="15" customHeight="1" s="164">
      <c r="C135" s="234" t="n"/>
      <c r="D135" s="234" t="n"/>
      <c r="E135" s="234" t="n"/>
      <c r="L135" s="234" t="n"/>
      <c r="N135" s="196">
        <f>IF($F135="","",TODAY()-$F135)</f>
        <v/>
      </c>
      <c r="O135" s="196">
        <f>IF($F135="","",IF($G135="Entretien","Suivre de près",IF($G135="Offre","Clôturé - Offre",IF($G135="Refusé","Clôturé",IF(AND($G135="Candidature envoyée",(TODAY()-$F135)&gt;14),"A relancer","En cours")))))</f>
        <v/>
      </c>
      <c r="P135" s="163">
        <f>IF($O135="A relancer",COUNTIF($O$6:$O135,"A relancer"),"")</f>
        <v/>
      </c>
      <c r="Q135" s="196">
        <f>IF($F135="","",WEEKNUM($F135,2))</f>
        <v/>
      </c>
      <c r="R135" s="196">
        <f>IF($F135="","",IF($G135="Offre",100,IF($G135="Entretien",90,IF($G135="Refusé",0,MIN(70,20+($N135*2)+IF($I135&lt;&gt;"",10,0)+IF($J135&lt;&gt;"",5,0))))))</f>
        <v/>
      </c>
      <c r="S135" s="169">
        <f>IF($I135&lt;&gt;"",MAX($S$5:$S134)+1,"")</f>
        <v/>
      </c>
      <c r="T135" s="196">
        <f>IF($C135="","",IF(COUNTIF($C$6:$C135,$C135)&gt;1,"Doublon possible",""))</f>
        <v/>
      </c>
      <c r="U135" s="163">
        <f>IF($G135="Entretien",COUNTIF($G$6:$G135,"Entretien"),"")</f>
        <v/>
      </c>
      <c r="W135" s="226">
        <f>IF($E135="","",IF(COUNTIF($E$6:$E135,$E135)=1,MAX($W$5:W134)+1,""))</f>
        <v/>
      </c>
    </row>
    <row r="136" ht="15" customHeight="1" s="164">
      <c r="C136" s="234" t="n"/>
      <c r="D136" s="234" t="n"/>
      <c r="E136" s="234" t="n"/>
      <c r="L136" s="234" t="n"/>
      <c r="N136" s="196">
        <f>IF($F136="","",TODAY()-$F136)</f>
        <v/>
      </c>
      <c r="O136" s="196">
        <f>IF($F136="","",IF($G136="Entretien","Suivre de près",IF($G136="Offre","Clôturé - Offre",IF($G136="Refusé","Clôturé",IF(AND($G136="Candidature envoyée",(TODAY()-$F136)&gt;14),"A relancer","En cours")))))</f>
        <v/>
      </c>
      <c r="P136" s="163">
        <f>IF($O136="A relancer",COUNTIF($O$6:$O136,"A relancer"),"")</f>
        <v/>
      </c>
      <c r="Q136" s="196">
        <f>IF($F136="","",WEEKNUM($F136,2))</f>
        <v/>
      </c>
      <c r="R136" s="196">
        <f>IF($F136="","",IF($G136="Offre",100,IF($G136="Entretien",90,IF($G136="Refusé",0,MIN(70,20+($N136*2)+IF($I136&lt;&gt;"",10,0)+IF($J136&lt;&gt;"",5,0))))))</f>
        <v/>
      </c>
      <c r="S136" s="169">
        <f>IF($I136&lt;&gt;"",MAX($S$5:$S135)+1,"")</f>
        <v/>
      </c>
      <c r="T136" s="196">
        <f>IF($C136="","",IF(COUNTIF($C$6:$C136,$C136)&gt;1,"Doublon possible",""))</f>
        <v/>
      </c>
      <c r="U136" s="163">
        <f>IF($G136="Entretien",COUNTIF($G$6:$G136,"Entretien"),"")</f>
        <v/>
      </c>
      <c r="W136" s="226">
        <f>IF($E136="","",IF(COUNTIF($E$6:$E136,$E136)=1,MAX($W$5:W135)+1,""))</f>
        <v/>
      </c>
    </row>
    <row r="137" ht="15" customHeight="1" s="164">
      <c r="C137" s="234" t="n"/>
      <c r="D137" s="234" t="n"/>
      <c r="E137" s="234" t="n"/>
      <c r="L137" s="234" t="n"/>
      <c r="N137" s="196">
        <f>IF($F137="","",TODAY()-$F137)</f>
        <v/>
      </c>
      <c r="O137" s="196">
        <f>IF($F137="","",IF($G137="Entretien","Suivre de près",IF($G137="Offre","Clôturé - Offre",IF($G137="Refusé","Clôturé",IF(AND($G137="Candidature envoyée",(TODAY()-$F137)&gt;14),"A relancer","En cours")))))</f>
        <v/>
      </c>
      <c r="P137" s="163">
        <f>IF($O137="A relancer",COUNTIF($O$6:$O137,"A relancer"),"")</f>
        <v/>
      </c>
      <c r="Q137" s="196">
        <f>IF($F137="","",WEEKNUM($F137,2))</f>
        <v/>
      </c>
      <c r="R137" s="196">
        <f>IF($F137="","",IF($G137="Offre",100,IF($G137="Entretien",90,IF($G137="Refusé",0,MIN(70,20+($N137*2)+IF($I137&lt;&gt;"",10,0)+IF($J137&lt;&gt;"",5,0))))))</f>
        <v/>
      </c>
      <c r="S137" s="169">
        <f>IF($I137&lt;&gt;"",MAX($S$5:$S136)+1,"")</f>
        <v/>
      </c>
      <c r="T137" s="196">
        <f>IF($C137="","",IF(COUNTIF($C$6:$C137,$C137)&gt;1,"Doublon possible",""))</f>
        <v/>
      </c>
      <c r="U137" s="163">
        <f>IF($G137="Entretien",COUNTIF($G$6:$G137,"Entretien"),"")</f>
        <v/>
      </c>
      <c r="W137" s="226">
        <f>IF($E137="","",IF(COUNTIF($E$6:$E137,$E137)=1,MAX($W$5:W136)+1,""))</f>
        <v/>
      </c>
    </row>
    <row r="138" ht="15" customHeight="1" s="164">
      <c r="C138" s="234" t="n"/>
      <c r="D138" s="234" t="n"/>
      <c r="E138" s="234" t="n"/>
      <c r="L138" s="234" t="n"/>
      <c r="N138" s="196">
        <f>IF($F138="","",TODAY()-$F138)</f>
        <v/>
      </c>
      <c r="O138" s="196">
        <f>IF($F138="","",IF($G138="Entretien","Suivre de près",IF($G138="Offre","Clôturé - Offre",IF($G138="Refusé","Clôturé",IF(AND($G138="Candidature envoyée",(TODAY()-$F138)&gt;14),"A relancer","En cours")))))</f>
        <v/>
      </c>
      <c r="P138" s="163">
        <f>IF($O138="A relancer",COUNTIF($O$6:$O138,"A relancer"),"")</f>
        <v/>
      </c>
      <c r="Q138" s="196">
        <f>IF($F138="","",WEEKNUM($F138,2))</f>
        <v/>
      </c>
      <c r="R138" s="196">
        <f>IF($F138="","",IF($G138="Offre",100,IF($G138="Entretien",90,IF($G138="Refusé",0,MIN(70,20+($N138*2)+IF($I138&lt;&gt;"",10,0)+IF($J138&lt;&gt;"",5,0))))))</f>
        <v/>
      </c>
      <c r="S138" s="169">
        <f>IF($I138&lt;&gt;"",MAX($S$5:$S137)+1,"")</f>
        <v/>
      </c>
      <c r="T138" s="196">
        <f>IF($C138="","",IF(COUNTIF($C$6:$C138,$C138)&gt;1,"Doublon possible",""))</f>
        <v/>
      </c>
      <c r="U138" s="163">
        <f>IF($G138="Entretien",COUNTIF($G$6:$G138,"Entretien"),"")</f>
        <v/>
      </c>
      <c r="W138" s="226">
        <f>IF($E138="","",IF(COUNTIF($E$6:$E138,$E138)=1,MAX($W$5:W137)+1,""))</f>
        <v/>
      </c>
    </row>
    <row r="139" ht="15" customHeight="1" s="164">
      <c r="C139" s="234" t="n"/>
      <c r="D139" s="234" t="n"/>
      <c r="E139" s="234" t="n"/>
      <c r="L139" s="234" t="n"/>
      <c r="N139" s="196">
        <f>IF($F139="","",TODAY()-$F139)</f>
        <v/>
      </c>
      <c r="O139" s="196">
        <f>IF($F139="","",IF($G139="Entretien","Suivre de près",IF($G139="Offre","Clôturé - Offre",IF($G139="Refusé","Clôturé",IF(AND($G139="Candidature envoyée",(TODAY()-$F139)&gt;14),"A relancer","En cours")))))</f>
        <v/>
      </c>
      <c r="P139" s="163">
        <f>IF($O139="A relancer",COUNTIF($O$6:$O139,"A relancer"),"")</f>
        <v/>
      </c>
      <c r="Q139" s="196">
        <f>IF($F139="","",WEEKNUM($F139,2))</f>
        <v/>
      </c>
      <c r="R139" s="196">
        <f>IF($F139="","",IF($G139="Offre",100,IF($G139="Entretien",90,IF($G139="Refusé",0,MIN(70,20+($N139*2)+IF($I139&lt;&gt;"",10,0)+IF($J139&lt;&gt;"",5,0))))))</f>
        <v/>
      </c>
      <c r="S139" s="169">
        <f>IF($I139&lt;&gt;"",MAX($S$5:$S138)+1,"")</f>
        <v/>
      </c>
      <c r="T139" s="196">
        <f>IF($C139="","",IF(COUNTIF($C$6:$C139,$C139)&gt;1,"Doublon possible",""))</f>
        <v/>
      </c>
      <c r="U139" s="163">
        <f>IF($G139="Entretien",COUNTIF($G$6:$G139,"Entretien"),"")</f>
        <v/>
      </c>
      <c r="W139" s="226">
        <f>IF($E139="","",IF(COUNTIF($E$6:$E139,$E139)=1,MAX($W$5:W138)+1,""))</f>
        <v/>
      </c>
    </row>
    <row r="140" ht="15" customHeight="1" s="164">
      <c r="C140" s="234" t="n"/>
      <c r="D140" s="234" t="n"/>
      <c r="E140" s="234" t="n"/>
      <c r="L140" s="234" t="n"/>
      <c r="N140" s="196">
        <f>IF($F140="","",TODAY()-$F140)</f>
        <v/>
      </c>
      <c r="O140" s="196">
        <f>IF($F140="","",IF($G140="Entretien","Suivre de près",IF($G140="Offre","Clôturé - Offre",IF($G140="Refusé","Clôturé",IF(AND($G140="Candidature envoyée",(TODAY()-$F140)&gt;14),"A relancer","En cours")))))</f>
        <v/>
      </c>
      <c r="P140" s="163">
        <f>IF($O140="A relancer",COUNTIF($O$6:$O140,"A relancer"),"")</f>
        <v/>
      </c>
      <c r="Q140" s="196">
        <f>IF($F140="","",WEEKNUM($F140,2))</f>
        <v/>
      </c>
      <c r="R140" s="196">
        <f>IF($F140="","",IF($G140="Offre",100,IF($G140="Entretien",90,IF($G140="Refusé",0,MIN(70,20+($N140*2)+IF($I140&lt;&gt;"",10,0)+IF($J140&lt;&gt;"",5,0))))))</f>
        <v/>
      </c>
      <c r="S140" s="169">
        <f>IF($I140&lt;&gt;"",MAX($S$5:$S139)+1,"")</f>
        <v/>
      </c>
      <c r="T140" s="196">
        <f>IF($C140="","",IF(COUNTIF($C$6:$C140,$C140)&gt;1,"Doublon possible",""))</f>
        <v/>
      </c>
      <c r="U140" s="163">
        <f>IF($G140="Entretien",COUNTIF($G$6:$G140,"Entretien"),"")</f>
        <v/>
      </c>
      <c r="W140" s="226">
        <f>IF($E140="","",IF(COUNTIF($E$6:$E140,$E140)=1,MAX($W$5:W139)+1,""))</f>
        <v/>
      </c>
    </row>
    <row r="141" ht="15" customHeight="1" s="164">
      <c r="C141" s="234" t="n"/>
      <c r="D141" s="234" t="n"/>
      <c r="E141" s="234" t="n"/>
      <c r="L141" s="234" t="n"/>
      <c r="N141" s="196">
        <f>IF($F141="","",TODAY()-$F141)</f>
        <v/>
      </c>
      <c r="O141" s="196">
        <f>IF($F141="","",IF($G141="Entretien","Suivre de près",IF($G141="Offre","Clôturé - Offre",IF($G141="Refusé","Clôturé",IF(AND($G141="Candidature envoyée",(TODAY()-$F141)&gt;14),"A relancer","En cours")))))</f>
        <v/>
      </c>
      <c r="P141" s="163">
        <f>IF($O141="A relancer",COUNTIF($O$6:$O141,"A relancer"),"")</f>
        <v/>
      </c>
      <c r="Q141" s="196">
        <f>IF($F141="","",WEEKNUM($F141,2))</f>
        <v/>
      </c>
      <c r="R141" s="196">
        <f>IF($F141="","",IF($G141="Offre",100,IF($G141="Entretien",90,IF($G141="Refusé",0,MIN(70,20+($N141*2)+IF($I141&lt;&gt;"",10,0)+IF($J141&lt;&gt;"",5,0))))))</f>
        <v/>
      </c>
      <c r="S141" s="169">
        <f>IF($I141&lt;&gt;"",MAX($S$5:$S140)+1,"")</f>
        <v/>
      </c>
      <c r="T141" s="196">
        <f>IF($C141="","",IF(COUNTIF($C$6:$C141,$C141)&gt;1,"Doublon possible",""))</f>
        <v/>
      </c>
      <c r="U141" s="163">
        <f>IF($G141="Entretien",COUNTIF($G$6:$G141,"Entretien"),"")</f>
        <v/>
      </c>
      <c r="W141" s="226">
        <f>IF($E141="","",IF(COUNTIF($E$6:$E141,$E141)=1,MAX($W$5:W140)+1,""))</f>
        <v/>
      </c>
    </row>
    <row r="142" ht="15" customHeight="1" s="164">
      <c r="C142" s="234" t="n"/>
      <c r="D142" s="234" t="n"/>
      <c r="E142" s="234" t="n"/>
      <c r="L142" s="234" t="n"/>
      <c r="N142" s="196">
        <f>IF($F142="","",TODAY()-$F142)</f>
        <v/>
      </c>
      <c r="O142" s="196">
        <f>IF($F142="","",IF($G142="Entretien","Suivre de près",IF($G142="Offre","Clôturé - Offre",IF($G142="Refusé","Clôturé",IF(AND($G142="Candidature envoyée",(TODAY()-$F142)&gt;14),"A relancer","En cours")))))</f>
        <v/>
      </c>
      <c r="P142" s="163">
        <f>IF($O142="A relancer",COUNTIF($O$6:$O142,"A relancer"),"")</f>
        <v/>
      </c>
      <c r="Q142" s="196">
        <f>IF($F142="","",WEEKNUM($F142,2))</f>
        <v/>
      </c>
      <c r="R142" s="196">
        <f>IF($F142="","",IF($G142="Offre",100,IF($G142="Entretien",90,IF($G142="Refusé",0,MIN(70,20+($N142*2)+IF($I142&lt;&gt;"",10,0)+IF($J142&lt;&gt;"",5,0))))))</f>
        <v/>
      </c>
      <c r="S142" s="169">
        <f>IF($I142&lt;&gt;"",MAX($S$5:$S141)+1,"")</f>
        <v/>
      </c>
      <c r="T142" s="196">
        <f>IF($C142="","",IF(COUNTIF($C$6:$C142,$C142)&gt;1,"Doublon possible",""))</f>
        <v/>
      </c>
      <c r="U142" s="163">
        <f>IF($G142="Entretien",COUNTIF($G$6:$G142,"Entretien"),"")</f>
        <v/>
      </c>
      <c r="W142" s="226">
        <f>IF($E142="","",IF(COUNTIF($E$6:$E142,$E142)=1,MAX($W$5:W141)+1,""))</f>
        <v/>
      </c>
    </row>
    <row r="143" ht="15" customHeight="1" s="164">
      <c r="C143" s="234" t="n"/>
      <c r="D143" s="234" t="n"/>
      <c r="E143" s="234" t="n"/>
      <c r="L143" s="234" t="n"/>
      <c r="N143" s="196">
        <f>IF($F143="","",TODAY()-$F143)</f>
        <v/>
      </c>
      <c r="O143" s="196">
        <f>IF($F143="","",IF($G143="Entretien","Suivre de près",IF($G143="Offre","Clôturé - Offre",IF($G143="Refusé","Clôturé",IF(AND($G143="Candidature envoyée",(TODAY()-$F143)&gt;14),"A relancer","En cours")))))</f>
        <v/>
      </c>
      <c r="P143" s="163">
        <f>IF($O143="A relancer",COUNTIF($O$6:$O143,"A relancer"),"")</f>
        <v/>
      </c>
      <c r="Q143" s="196">
        <f>IF($F143="","",WEEKNUM($F143,2))</f>
        <v/>
      </c>
      <c r="R143" s="196">
        <f>IF($F143="","",IF($G143="Offre",100,IF($G143="Entretien",90,IF($G143="Refusé",0,MIN(70,20+($N143*2)+IF($I143&lt;&gt;"",10,0)+IF($J143&lt;&gt;"",5,0))))))</f>
        <v/>
      </c>
      <c r="S143" s="169">
        <f>IF($I143&lt;&gt;"",MAX($S$5:$S142)+1,"")</f>
        <v/>
      </c>
      <c r="T143" s="196">
        <f>IF($C143="","",IF(COUNTIF($C$6:$C143,$C143)&gt;1,"Doublon possible",""))</f>
        <v/>
      </c>
      <c r="U143" s="163">
        <f>IF($G143="Entretien",COUNTIF($G$6:$G143,"Entretien"),"")</f>
        <v/>
      </c>
      <c r="W143" s="226">
        <f>IF($E143="","",IF(COUNTIF($E$6:$E143,$E143)=1,MAX($W$5:W142)+1,""))</f>
        <v/>
      </c>
    </row>
    <row r="144" ht="15" customHeight="1" s="164">
      <c r="C144" s="234" t="n"/>
      <c r="D144" s="234" t="n"/>
      <c r="E144" s="234" t="n"/>
      <c r="L144" s="234" t="n"/>
      <c r="N144" s="196">
        <f>IF($F144="","",TODAY()-$F144)</f>
        <v/>
      </c>
      <c r="O144" s="196">
        <f>IF($F144="","",IF($G144="Entretien","Suivre de près",IF($G144="Offre","Clôturé - Offre",IF($G144="Refusé","Clôturé",IF(AND($G144="Candidature envoyée",(TODAY()-$F144)&gt;14),"A relancer","En cours")))))</f>
        <v/>
      </c>
      <c r="P144" s="163">
        <f>IF($O144="A relancer",COUNTIF($O$6:$O144,"A relancer"),"")</f>
        <v/>
      </c>
      <c r="Q144" s="196">
        <f>IF($F144="","",WEEKNUM($F144,2))</f>
        <v/>
      </c>
      <c r="R144" s="196">
        <f>IF($F144="","",IF($G144="Offre",100,IF($G144="Entretien",90,IF($G144="Refusé",0,MIN(70,20+($N144*2)+IF($I144&lt;&gt;"",10,0)+IF($J144&lt;&gt;"",5,0))))))</f>
        <v/>
      </c>
      <c r="S144" s="169">
        <f>IF($I144&lt;&gt;"",MAX($S$5:$S143)+1,"")</f>
        <v/>
      </c>
      <c r="T144" s="196">
        <f>IF($C144="","",IF(COUNTIF($C$6:$C144,$C144)&gt;1,"Doublon possible",""))</f>
        <v/>
      </c>
      <c r="U144" s="163">
        <f>IF($G144="Entretien",COUNTIF($G$6:$G144,"Entretien"),"")</f>
        <v/>
      </c>
      <c r="W144" s="226">
        <f>IF($E144="","",IF(COUNTIF($E$6:$E144,$E144)=1,MAX($W$5:W143)+1,""))</f>
        <v/>
      </c>
    </row>
    <row r="145" ht="15" customHeight="1" s="164">
      <c r="C145" s="234" t="n"/>
      <c r="D145" s="234" t="n"/>
      <c r="E145" s="234" t="n"/>
      <c r="L145" s="234" t="n"/>
      <c r="N145" s="196">
        <f>IF($F145="","",TODAY()-$F145)</f>
        <v/>
      </c>
      <c r="O145" s="196">
        <f>IF($F145="","",IF($G145="Entretien","Suivre de près",IF($G145="Offre","Clôturé - Offre",IF($G145="Refusé","Clôturé",IF(AND($G145="Candidature envoyée",(TODAY()-$F145)&gt;14),"A relancer","En cours")))))</f>
        <v/>
      </c>
      <c r="P145" s="163">
        <f>IF($O145="A relancer",COUNTIF($O$6:$O145,"A relancer"),"")</f>
        <v/>
      </c>
      <c r="Q145" s="196">
        <f>IF($F145="","",WEEKNUM($F145,2))</f>
        <v/>
      </c>
      <c r="R145" s="196">
        <f>IF($F145="","",IF($G145="Offre",100,IF($G145="Entretien",90,IF($G145="Refusé",0,MIN(70,20+($N145*2)+IF($I145&lt;&gt;"",10,0)+IF($J145&lt;&gt;"",5,0))))))</f>
        <v/>
      </c>
      <c r="S145" s="169">
        <f>IF($I145&lt;&gt;"",MAX($S$5:$S144)+1,"")</f>
        <v/>
      </c>
      <c r="T145" s="196">
        <f>IF($C145="","",IF(COUNTIF($C$6:$C145,$C145)&gt;1,"Doublon possible",""))</f>
        <v/>
      </c>
      <c r="U145" s="163">
        <f>IF($G145="Entretien",COUNTIF($G$6:$G145,"Entretien"),"")</f>
        <v/>
      </c>
      <c r="W145" s="226">
        <f>IF($E145="","",IF(COUNTIF($E$6:$E145,$E145)=1,MAX($W$5:W144)+1,""))</f>
        <v/>
      </c>
    </row>
    <row r="146" ht="15" customHeight="1" s="164">
      <c r="C146" s="234" t="n"/>
      <c r="D146" s="234" t="n"/>
      <c r="E146" s="234" t="n"/>
      <c r="L146" s="234" t="n"/>
      <c r="N146" s="196">
        <f>IF($F146="","",TODAY()-$F146)</f>
        <v/>
      </c>
      <c r="O146" s="196">
        <f>IF($F146="","",IF($G146="Entretien","Suivre de près",IF($G146="Offre","Clôturé - Offre",IF($G146="Refusé","Clôturé",IF(AND($G146="Candidature envoyée",(TODAY()-$F146)&gt;14),"A relancer","En cours")))))</f>
        <v/>
      </c>
      <c r="P146" s="163">
        <f>IF($O146="A relancer",COUNTIF($O$6:$O146,"A relancer"),"")</f>
        <v/>
      </c>
      <c r="Q146" s="196">
        <f>IF($F146="","",WEEKNUM($F146,2))</f>
        <v/>
      </c>
      <c r="R146" s="196">
        <f>IF($F146="","",IF($G146="Offre",100,IF($G146="Entretien",90,IF($G146="Refusé",0,MIN(70,20+($N146*2)+IF($I146&lt;&gt;"",10,0)+IF($J146&lt;&gt;"",5,0))))))</f>
        <v/>
      </c>
      <c r="S146" s="169">
        <f>IF($I146&lt;&gt;"",MAX($S$5:$S145)+1,"")</f>
        <v/>
      </c>
      <c r="T146" s="196">
        <f>IF($C146="","",IF(COUNTIF($C$6:$C146,$C146)&gt;1,"Doublon possible",""))</f>
        <v/>
      </c>
      <c r="U146" s="163">
        <f>IF($G146="Entretien",COUNTIF($G$6:$G146,"Entretien"),"")</f>
        <v/>
      </c>
      <c r="W146" s="226">
        <f>IF($E146="","",IF(COUNTIF($E$6:$E146,$E146)=1,MAX($W$5:W145)+1,""))</f>
        <v/>
      </c>
    </row>
    <row r="147" ht="15" customHeight="1" s="164">
      <c r="C147" s="234" t="n"/>
      <c r="D147" s="234" t="n"/>
      <c r="E147" s="234" t="n"/>
      <c r="L147" s="234" t="n"/>
      <c r="N147" s="196">
        <f>IF($F147="","",TODAY()-$F147)</f>
        <v/>
      </c>
      <c r="O147" s="196">
        <f>IF($F147="","",IF($G147="Entretien","Suivre de près",IF($G147="Offre","Clôturé - Offre",IF($G147="Refusé","Clôturé",IF(AND($G147="Candidature envoyée",(TODAY()-$F147)&gt;14),"A relancer","En cours")))))</f>
        <v/>
      </c>
      <c r="P147" s="163">
        <f>IF($O147="A relancer",COUNTIF($O$6:$O147,"A relancer"),"")</f>
        <v/>
      </c>
      <c r="Q147" s="196">
        <f>IF($F147="","",WEEKNUM($F147,2))</f>
        <v/>
      </c>
      <c r="R147" s="196">
        <f>IF($F147="","",IF($G147="Offre",100,IF($G147="Entretien",90,IF($G147="Refusé",0,MIN(70,20+($N147*2)+IF($I147&lt;&gt;"",10,0)+IF($J147&lt;&gt;"",5,0))))))</f>
        <v/>
      </c>
      <c r="S147" s="169">
        <f>IF($I147&lt;&gt;"",MAX($S$5:$S146)+1,"")</f>
        <v/>
      </c>
      <c r="T147" s="196">
        <f>IF($C147="","",IF(COUNTIF($C$6:$C147,$C147)&gt;1,"Doublon possible",""))</f>
        <v/>
      </c>
      <c r="U147" s="163">
        <f>IF($G147="Entretien",COUNTIF($G$6:$G147,"Entretien"),"")</f>
        <v/>
      </c>
      <c r="W147" s="226">
        <f>IF($E147="","",IF(COUNTIF($E$6:$E147,$E147)=1,MAX($W$5:W146)+1,""))</f>
        <v/>
      </c>
    </row>
    <row r="148" ht="15" customHeight="1" s="164">
      <c r="C148" s="234" t="n"/>
      <c r="D148" s="234" t="n"/>
      <c r="E148" s="234" t="n"/>
      <c r="L148" s="234" t="n"/>
      <c r="N148" s="196">
        <f>IF($F148="","",TODAY()-$F148)</f>
        <v/>
      </c>
      <c r="O148" s="196">
        <f>IF($F148="","",IF($G148="Entretien","Suivre de près",IF($G148="Offre","Clôturé - Offre",IF($G148="Refusé","Clôturé",IF(AND($G148="Candidature envoyée",(TODAY()-$F148)&gt;14),"A relancer","En cours")))))</f>
        <v/>
      </c>
      <c r="P148" s="163">
        <f>IF($O148="A relancer",COUNTIF($O$6:$O148,"A relancer"),"")</f>
        <v/>
      </c>
      <c r="Q148" s="196">
        <f>IF($F148="","",WEEKNUM($F148,2))</f>
        <v/>
      </c>
      <c r="R148" s="196">
        <f>IF($F148="","",IF($G148="Offre",100,IF($G148="Entretien",90,IF($G148="Refusé",0,MIN(70,20+($N148*2)+IF($I148&lt;&gt;"",10,0)+IF($J148&lt;&gt;"",5,0))))))</f>
        <v/>
      </c>
      <c r="S148" s="169">
        <f>IF($I148&lt;&gt;"",MAX($S$5:$S147)+1,"")</f>
        <v/>
      </c>
      <c r="T148" s="196">
        <f>IF($C148="","",IF(COUNTIF($C$6:$C148,$C148)&gt;1,"Doublon possible",""))</f>
        <v/>
      </c>
      <c r="U148" s="163">
        <f>IF($G148="Entretien",COUNTIF($G$6:$G148,"Entretien"),"")</f>
        <v/>
      </c>
      <c r="W148" s="226">
        <f>IF($E148="","",IF(COUNTIF($E$6:$E148,$E148)=1,MAX($W$5:W147)+1,""))</f>
        <v/>
      </c>
    </row>
    <row r="149" ht="15" customHeight="1" s="164">
      <c r="C149" s="234" t="n"/>
      <c r="D149" s="234" t="n"/>
      <c r="E149" s="234" t="n"/>
      <c r="L149" s="234" t="n"/>
      <c r="N149" s="196">
        <f>IF($F149="","",TODAY()-$F149)</f>
        <v/>
      </c>
      <c r="O149" s="196">
        <f>IF($F149="","",IF($G149="Entretien","Suivre de près",IF($G149="Offre","Clôturé - Offre",IF($G149="Refusé","Clôturé",IF(AND($G149="Candidature envoyée",(TODAY()-$F149)&gt;14),"A relancer","En cours")))))</f>
        <v/>
      </c>
      <c r="P149" s="163">
        <f>IF($O149="A relancer",COUNTIF($O$6:$O149,"A relancer"),"")</f>
        <v/>
      </c>
      <c r="Q149" s="196">
        <f>IF($F149="","",WEEKNUM($F149,2))</f>
        <v/>
      </c>
      <c r="R149" s="196">
        <f>IF($F149="","",IF($G149="Offre",100,IF($G149="Entretien",90,IF($G149="Refusé",0,MIN(70,20+($N149*2)+IF($I149&lt;&gt;"",10,0)+IF($J149&lt;&gt;"",5,0))))))</f>
        <v/>
      </c>
      <c r="S149" s="169">
        <f>IF($I149&lt;&gt;"",MAX($S$5:$S148)+1,"")</f>
        <v/>
      </c>
      <c r="T149" s="196">
        <f>IF($C149="","",IF(COUNTIF($C$6:$C149,$C149)&gt;1,"Doublon possible",""))</f>
        <v/>
      </c>
      <c r="U149" s="163">
        <f>IF($G149="Entretien",COUNTIF($G$6:$G149,"Entretien"),"")</f>
        <v/>
      </c>
      <c r="W149" s="226">
        <f>IF($E149="","",IF(COUNTIF($E$6:$E149,$E149)=1,MAX($W$5:W148)+1,""))</f>
        <v/>
      </c>
    </row>
    <row r="150" ht="15" customHeight="1" s="164">
      <c r="C150" s="234" t="n"/>
      <c r="D150" s="234" t="n"/>
      <c r="E150" s="234" t="n"/>
      <c r="L150" s="234" t="n"/>
      <c r="N150" s="196">
        <f>IF($F150="","",TODAY()-$F150)</f>
        <v/>
      </c>
      <c r="O150" s="196">
        <f>IF($F150="","",IF($G150="Entretien","Suivre de près",IF($G150="Offre","Clôturé - Offre",IF($G150="Refusé","Clôturé",IF(AND($G150="Candidature envoyée",(TODAY()-$F150)&gt;14),"A relancer","En cours")))))</f>
        <v/>
      </c>
      <c r="P150" s="163">
        <f>IF($O150="A relancer",COUNTIF($O$6:$O150,"A relancer"),"")</f>
        <v/>
      </c>
      <c r="Q150" s="196">
        <f>IF($F150="","",WEEKNUM($F150,2))</f>
        <v/>
      </c>
      <c r="R150" s="196">
        <f>IF($F150="","",IF($G150="Offre",100,IF($G150="Entretien",90,IF($G150="Refusé",0,MIN(70,20+($N150*2)+IF($I150&lt;&gt;"",10,0)+IF($J150&lt;&gt;"",5,0))))))</f>
        <v/>
      </c>
      <c r="S150" s="169">
        <f>IF($I150&lt;&gt;"",MAX($S$5:$S149)+1,"")</f>
        <v/>
      </c>
      <c r="T150" s="196">
        <f>IF($C150="","",IF(COUNTIF($C$6:$C150,$C150)&gt;1,"Doublon possible",""))</f>
        <v/>
      </c>
      <c r="U150" s="163">
        <f>IF($G150="Entretien",COUNTIF($G$6:$G150,"Entretien"),"")</f>
        <v/>
      </c>
      <c r="W150" s="226">
        <f>IF($E150="","",IF(COUNTIF($E$6:$E150,$E150)=1,MAX($W$5:W149)+1,""))</f>
        <v/>
      </c>
    </row>
    <row r="151" ht="15" customHeight="1" s="164">
      <c r="C151" s="234" t="n"/>
      <c r="D151" s="234" t="n"/>
      <c r="E151" s="234" t="n"/>
      <c r="L151" s="234" t="n"/>
      <c r="N151" s="196">
        <f>IF($F151="","",TODAY()-$F151)</f>
        <v/>
      </c>
      <c r="O151" s="196">
        <f>IF($F151="","",IF($G151="Entretien","Suivre de près",IF($G151="Offre","Clôturé - Offre",IF($G151="Refusé","Clôturé",IF(AND($G151="Candidature envoyée",(TODAY()-$F151)&gt;14),"A relancer","En cours")))))</f>
        <v/>
      </c>
      <c r="P151" s="163">
        <f>IF($O151="A relancer",COUNTIF($O$6:$O151,"A relancer"),"")</f>
        <v/>
      </c>
      <c r="Q151" s="196">
        <f>IF($F151="","",WEEKNUM($F151,2))</f>
        <v/>
      </c>
      <c r="R151" s="196">
        <f>IF($F151="","",IF($G151="Offre",100,IF($G151="Entretien",90,IF($G151="Refusé",0,MIN(70,20+($N151*2)+IF($I151&lt;&gt;"",10,0)+IF($J151&lt;&gt;"",5,0))))))</f>
        <v/>
      </c>
      <c r="S151" s="169">
        <f>IF($I151&lt;&gt;"",MAX($S$5:$S150)+1,"")</f>
        <v/>
      </c>
      <c r="T151" s="196">
        <f>IF($C151="","",IF(COUNTIF($C$6:$C151,$C151)&gt;1,"Doublon possible",""))</f>
        <v/>
      </c>
      <c r="U151" s="163">
        <f>IF($G151="Entretien",COUNTIF($G$6:$G151,"Entretien"),"")</f>
        <v/>
      </c>
      <c r="W151" s="226">
        <f>IF($E151="","",IF(COUNTIF($E$6:$E151,$E151)=1,MAX($W$5:W150)+1,""))</f>
        <v/>
      </c>
    </row>
    <row r="152" ht="15" customHeight="1" s="164">
      <c r="C152" s="234" t="n"/>
      <c r="D152" s="234" t="n"/>
      <c r="E152" s="234" t="n"/>
      <c r="L152" s="234" t="n"/>
      <c r="N152" s="196">
        <f>IF($F152="","",TODAY()-$F152)</f>
        <v/>
      </c>
      <c r="O152" s="196">
        <f>IF($F152="","",IF($G152="Entretien","Suivre de près",IF($G152="Offre","Clôturé - Offre",IF($G152="Refusé","Clôturé",IF(AND($G152="Candidature envoyée",(TODAY()-$F152)&gt;14),"A relancer","En cours")))))</f>
        <v/>
      </c>
      <c r="P152" s="163">
        <f>IF($O152="A relancer",COUNTIF($O$6:$O152,"A relancer"),"")</f>
        <v/>
      </c>
      <c r="Q152" s="196">
        <f>IF($F152="","",WEEKNUM($F152,2))</f>
        <v/>
      </c>
      <c r="R152" s="196">
        <f>IF($F152="","",IF($G152="Offre",100,IF($G152="Entretien",90,IF($G152="Refusé",0,MIN(70,20+($N152*2)+IF($I152&lt;&gt;"",10,0)+IF($J152&lt;&gt;"",5,0))))))</f>
        <v/>
      </c>
      <c r="S152" s="169">
        <f>IF($I152&lt;&gt;"",MAX($S$5:$S151)+1,"")</f>
        <v/>
      </c>
      <c r="T152" s="196">
        <f>IF($C152="","",IF(COUNTIF($C$6:$C152,$C152)&gt;1,"Doublon possible",""))</f>
        <v/>
      </c>
      <c r="U152" s="163">
        <f>IF($G152="Entretien",COUNTIF($G$6:$G152,"Entretien"),"")</f>
        <v/>
      </c>
      <c r="W152" s="226">
        <f>IF($E152="","",IF(COUNTIF($E$6:$E152,$E152)=1,MAX($W$5:W151)+1,""))</f>
        <v/>
      </c>
    </row>
    <row r="153" ht="15" customHeight="1" s="164">
      <c r="C153" s="234" t="n"/>
      <c r="D153" s="234" t="n"/>
      <c r="E153" s="234" t="n"/>
      <c r="L153" s="234" t="n"/>
      <c r="N153" s="196">
        <f>IF($F153="","",TODAY()-$F153)</f>
        <v/>
      </c>
      <c r="O153" s="196">
        <f>IF($F153="","",IF($G153="Entretien","Suivre de près",IF($G153="Offre","Clôturé - Offre",IF($G153="Refusé","Clôturé",IF(AND($G153="Candidature envoyée",(TODAY()-$F153)&gt;14),"A relancer","En cours")))))</f>
        <v/>
      </c>
      <c r="P153" s="163">
        <f>IF($O153="A relancer",COUNTIF($O$6:$O153,"A relancer"),"")</f>
        <v/>
      </c>
      <c r="Q153" s="196">
        <f>IF($F153="","",WEEKNUM($F153,2))</f>
        <v/>
      </c>
      <c r="R153" s="196">
        <f>IF($F153="","",IF($G153="Offre",100,IF($G153="Entretien",90,IF($G153="Refusé",0,MIN(70,20+($N153*2)+IF($I153&lt;&gt;"",10,0)+IF($J153&lt;&gt;"",5,0))))))</f>
        <v/>
      </c>
      <c r="S153" s="169">
        <f>IF($I153&lt;&gt;"",MAX($S$5:$S152)+1,"")</f>
        <v/>
      </c>
      <c r="T153" s="196">
        <f>IF($C153="","",IF(COUNTIF($C$6:$C153,$C153)&gt;1,"Doublon possible",""))</f>
        <v/>
      </c>
      <c r="U153" s="163">
        <f>IF($G153="Entretien",COUNTIF($G$6:$G153,"Entretien"),"")</f>
        <v/>
      </c>
      <c r="W153" s="226">
        <f>IF($E153="","",IF(COUNTIF($E$6:$E153,$E153)=1,MAX($W$5:W152)+1,""))</f>
        <v/>
      </c>
    </row>
    <row r="154" ht="15" customHeight="1" s="164">
      <c r="C154" s="234" t="n"/>
      <c r="D154" s="234" t="n"/>
      <c r="E154" s="234" t="n"/>
      <c r="L154" s="234" t="n"/>
      <c r="N154" s="196">
        <f>IF($F154="","",TODAY()-$F154)</f>
        <v/>
      </c>
      <c r="O154" s="196">
        <f>IF($F154="","",IF($G154="Entretien","Suivre de près",IF($G154="Offre","Clôturé - Offre",IF($G154="Refusé","Clôturé",IF(AND($G154="Candidature envoyée",(TODAY()-$F154)&gt;14),"A relancer","En cours")))))</f>
        <v/>
      </c>
      <c r="P154" s="163">
        <f>IF($O154="A relancer",COUNTIF($O$6:$O154,"A relancer"),"")</f>
        <v/>
      </c>
      <c r="Q154" s="196">
        <f>IF($F154="","",WEEKNUM($F154,2))</f>
        <v/>
      </c>
      <c r="R154" s="196">
        <f>IF($F154="","",IF($G154="Offre",100,IF($G154="Entretien",90,IF($G154="Refusé",0,MIN(70,20+($N154*2)+IF($I154&lt;&gt;"",10,0)+IF($J154&lt;&gt;"",5,0))))))</f>
        <v/>
      </c>
      <c r="S154" s="169">
        <f>IF($I154&lt;&gt;"",MAX($S$5:$S153)+1,"")</f>
        <v/>
      </c>
      <c r="T154" s="196">
        <f>IF($C154="","",IF(COUNTIF($C$6:$C154,$C154)&gt;1,"Doublon possible",""))</f>
        <v/>
      </c>
      <c r="U154" s="163">
        <f>IF($G154="Entretien",COUNTIF($G$6:$G154,"Entretien"),"")</f>
        <v/>
      </c>
      <c r="W154" s="226">
        <f>IF($E154="","",IF(COUNTIF($E$6:$E154,$E154)=1,MAX($W$5:W153)+1,""))</f>
        <v/>
      </c>
    </row>
    <row r="155" ht="15" customHeight="1" s="164">
      <c r="C155" s="234" t="n"/>
      <c r="D155" s="234" t="n"/>
      <c r="E155" s="234" t="n"/>
      <c r="L155" s="234" t="n"/>
      <c r="N155" s="196">
        <f>IF($F155="","",TODAY()-$F155)</f>
        <v/>
      </c>
      <c r="O155" s="196">
        <f>IF($F155="","",IF($G155="Entretien","Suivre de près",IF($G155="Offre","Clôturé - Offre",IF($G155="Refusé","Clôturé",IF(AND($G155="Candidature envoyée",(TODAY()-$F155)&gt;14),"A relancer","En cours")))))</f>
        <v/>
      </c>
      <c r="P155" s="163">
        <f>IF($O155="A relancer",COUNTIF($O$6:$O155,"A relancer"),"")</f>
        <v/>
      </c>
      <c r="Q155" s="196">
        <f>IF($F155="","",WEEKNUM($F155,2))</f>
        <v/>
      </c>
      <c r="R155" s="196">
        <f>IF($F155="","",IF($G155="Offre",100,IF($G155="Entretien",90,IF($G155="Refusé",0,MIN(70,20+($N155*2)+IF($I155&lt;&gt;"",10,0)+IF($J155&lt;&gt;"",5,0))))))</f>
        <v/>
      </c>
      <c r="S155" s="169">
        <f>IF($I155&lt;&gt;"",MAX($S$5:$S154)+1,"")</f>
        <v/>
      </c>
      <c r="T155" s="196">
        <f>IF($C155="","",IF(COUNTIF($C$6:$C155,$C155)&gt;1,"Doublon possible",""))</f>
        <v/>
      </c>
      <c r="U155" s="163">
        <f>IF($G155="Entretien",COUNTIF($G$6:$G155,"Entretien"),"")</f>
        <v/>
      </c>
      <c r="W155" s="226">
        <f>IF($E155="","",IF(COUNTIF($E$6:$E155,$E155)=1,MAX($W$5:W154)+1,""))</f>
        <v/>
      </c>
    </row>
    <row r="156" ht="15" customHeight="1" s="164">
      <c r="C156" s="234" t="n"/>
      <c r="D156" s="234" t="n"/>
      <c r="E156" s="234" t="n"/>
      <c r="L156" s="234" t="n"/>
      <c r="N156" s="196">
        <f>IF($F156="","",TODAY()-$F156)</f>
        <v/>
      </c>
      <c r="O156" s="196">
        <f>IF($F156="","",IF($G156="Entretien","Suivre de près",IF($G156="Offre","Clôturé - Offre",IF($G156="Refusé","Clôturé",IF(AND($G156="Candidature envoyée",(TODAY()-$F156)&gt;14),"A relancer","En cours")))))</f>
        <v/>
      </c>
      <c r="P156" s="163">
        <f>IF($O156="A relancer",COUNTIF($O$6:$O156,"A relancer"),"")</f>
        <v/>
      </c>
      <c r="Q156" s="196">
        <f>IF($F156="","",WEEKNUM($F156,2))</f>
        <v/>
      </c>
      <c r="R156" s="196">
        <f>IF($F156="","",IF($G156="Offre",100,IF($G156="Entretien",90,IF($G156="Refusé",0,MIN(70,20+($N156*2)+IF($I156&lt;&gt;"",10,0)+IF($J156&lt;&gt;"",5,0))))))</f>
        <v/>
      </c>
      <c r="S156" s="169">
        <f>IF($I156&lt;&gt;"",MAX($S$5:$S155)+1,"")</f>
        <v/>
      </c>
      <c r="T156" s="196">
        <f>IF($C156="","",IF(COUNTIF($C$6:$C156,$C156)&gt;1,"Doublon possible",""))</f>
        <v/>
      </c>
      <c r="U156" s="163">
        <f>IF($G156="Entretien",COUNTIF($G$6:$G156,"Entretien"),"")</f>
        <v/>
      </c>
      <c r="W156" s="226">
        <f>IF($E156="","",IF(COUNTIF($E$6:$E156,$E156)=1,MAX($W$5:W155)+1,""))</f>
        <v/>
      </c>
    </row>
    <row r="157" ht="15" customHeight="1" s="164">
      <c r="C157" s="234" t="n"/>
      <c r="D157" s="234" t="n"/>
      <c r="E157" s="234" t="n"/>
      <c r="L157" s="234" t="n"/>
      <c r="N157" s="196">
        <f>IF($F157="","",TODAY()-$F157)</f>
        <v/>
      </c>
      <c r="O157" s="196">
        <f>IF($F157="","",IF($G157="Entretien","Suivre de près",IF($G157="Offre","Clôturé - Offre",IF($G157="Refusé","Clôturé",IF(AND($G157="Candidature envoyée",(TODAY()-$F157)&gt;14),"A relancer","En cours")))))</f>
        <v/>
      </c>
      <c r="P157" s="163">
        <f>IF($O157="A relancer",COUNTIF($O$6:$O157,"A relancer"),"")</f>
        <v/>
      </c>
      <c r="Q157" s="196">
        <f>IF($F157="","",WEEKNUM($F157,2))</f>
        <v/>
      </c>
      <c r="R157" s="196">
        <f>IF($F157="","",IF($G157="Offre",100,IF($G157="Entretien",90,IF($G157="Refusé",0,MIN(70,20+($N157*2)+IF($I157&lt;&gt;"",10,0)+IF($J157&lt;&gt;"",5,0))))))</f>
        <v/>
      </c>
      <c r="S157" s="169">
        <f>IF($I157&lt;&gt;"",MAX($S$5:$S156)+1,"")</f>
        <v/>
      </c>
      <c r="T157" s="196">
        <f>IF($C157="","",IF(COUNTIF($C$6:$C157,$C157)&gt;1,"Doublon possible",""))</f>
        <v/>
      </c>
      <c r="U157" s="163">
        <f>IF($G157="Entretien",COUNTIF($G$6:$G157,"Entretien"),"")</f>
        <v/>
      </c>
      <c r="W157" s="226">
        <f>IF($E157="","",IF(COUNTIF($E$6:$E157,$E157)=1,MAX($W$5:W156)+1,""))</f>
        <v/>
      </c>
    </row>
    <row r="158" ht="15" customHeight="1" s="164">
      <c r="C158" s="234" t="n"/>
      <c r="D158" s="234" t="n"/>
      <c r="E158" s="234" t="n"/>
      <c r="L158" s="234" t="n"/>
      <c r="N158" s="196">
        <f>IF($F158="","",TODAY()-$F158)</f>
        <v/>
      </c>
      <c r="O158" s="196">
        <f>IF($F158="","",IF($G158="Entretien","Suivre de près",IF($G158="Offre","Clôturé - Offre",IF($G158="Refusé","Clôturé",IF(AND($G158="Candidature envoyée",(TODAY()-$F158)&gt;14),"A relancer","En cours")))))</f>
        <v/>
      </c>
      <c r="P158" s="163">
        <f>IF($O158="A relancer",COUNTIF($O$6:$O158,"A relancer"),"")</f>
        <v/>
      </c>
      <c r="Q158" s="196">
        <f>IF($F158="","",WEEKNUM($F158,2))</f>
        <v/>
      </c>
      <c r="R158" s="196">
        <f>IF($F158="","",IF($G158="Offre",100,IF($G158="Entretien",90,IF($G158="Refusé",0,MIN(70,20+($N158*2)+IF($I158&lt;&gt;"",10,0)+IF($J158&lt;&gt;"",5,0))))))</f>
        <v/>
      </c>
      <c r="S158" s="169">
        <f>IF($I158&lt;&gt;"",MAX($S$5:$S157)+1,"")</f>
        <v/>
      </c>
      <c r="T158" s="196">
        <f>IF($C158="","",IF(COUNTIF($C$6:$C158,$C158)&gt;1,"Doublon possible",""))</f>
        <v/>
      </c>
      <c r="U158" s="163">
        <f>IF($G158="Entretien",COUNTIF($G$6:$G158,"Entretien"),"")</f>
        <v/>
      </c>
      <c r="W158" s="226">
        <f>IF($E158="","",IF(COUNTIF($E$6:$E158,$E158)=1,MAX($W$5:W157)+1,""))</f>
        <v/>
      </c>
    </row>
    <row r="159" ht="15" customHeight="1" s="164">
      <c r="C159" s="234" t="n"/>
      <c r="D159" s="234" t="n"/>
      <c r="E159" s="234" t="n"/>
      <c r="L159" s="234" t="n"/>
      <c r="N159" s="196">
        <f>IF($F159="","",TODAY()-$F159)</f>
        <v/>
      </c>
      <c r="O159" s="196">
        <f>IF($F159="","",IF($G159="Entretien","Suivre de près",IF($G159="Offre","Clôturé - Offre",IF($G159="Refusé","Clôturé",IF(AND($G159="Candidature envoyée",(TODAY()-$F159)&gt;14),"A relancer","En cours")))))</f>
        <v/>
      </c>
      <c r="P159" s="163">
        <f>IF($O159="A relancer",COUNTIF($O$6:$O159,"A relancer"),"")</f>
        <v/>
      </c>
      <c r="Q159" s="196">
        <f>IF($F159="","",WEEKNUM($F159,2))</f>
        <v/>
      </c>
      <c r="R159" s="196">
        <f>IF($F159="","",IF($G159="Offre",100,IF($G159="Entretien",90,IF($G159="Refusé",0,MIN(70,20+($N159*2)+IF($I159&lt;&gt;"",10,0)+IF($J159&lt;&gt;"",5,0))))))</f>
        <v/>
      </c>
      <c r="S159" s="169">
        <f>IF($I159&lt;&gt;"",MAX($S$5:$S158)+1,"")</f>
        <v/>
      </c>
      <c r="T159" s="196">
        <f>IF($C159="","",IF(COUNTIF($C$6:$C159,$C159)&gt;1,"Doublon possible",""))</f>
        <v/>
      </c>
      <c r="U159" s="163">
        <f>IF($G159="Entretien",COUNTIF($G$6:$G159,"Entretien"),"")</f>
        <v/>
      </c>
      <c r="W159" s="226">
        <f>IF($E159="","",IF(COUNTIF($E$6:$E159,$E159)=1,MAX($W$5:W158)+1,""))</f>
        <v/>
      </c>
    </row>
    <row r="160" ht="15" customHeight="1" s="164">
      <c r="C160" s="234" t="n"/>
      <c r="D160" s="234" t="n"/>
      <c r="E160" s="234" t="n"/>
      <c r="L160" s="234" t="n"/>
      <c r="N160" s="196">
        <f>IF($F160="","",TODAY()-$F160)</f>
        <v/>
      </c>
      <c r="O160" s="196">
        <f>IF($F160="","",IF($G160="Entretien","Suivre de près",IF($G160="Offre","Clôturé - Offre",IF($G160="Refusé","Clôturé",IF(AND($G160="Candidature envoyée",(TODAY()-$F160)&gt;14),"A relancer","En cours")))))</f>
        <v/>
      </c>
      <c r="P160" s="163">
        <f>IF($O160="A relancer",COUNTIF($O$6:$O160,"A relancer"),"")</f>
        <v/>
      </c>
      <c r="Q160" s="196">
        <f>IF($F160="","",WEEKNUM($F160,2))</f>
        <v/>
      </c>
      <c r="R160" s="196">
        <f>IF($F160="","",IF($G160="Offre",100,IF($G160="Entretien",90,IF($G160="Refusé",0,MIN(70,20+($N160*2)+IF($I160&lt;&gt;"",10,0)+IF($J160&lt;&gt;"",5,0))))))</f>
        <v/>
      </c>
      <c r="S160" s="169">
        <f>IF($I160&lt;&gt;"",MAX($S$5:$S159)+1,"")</f>
        <v/>
      </c>
      <c r="T160" s="196">
        <f>IF($C160="","",IF(COUNTIF($C$6:$C160,$C160)&gt;1,"Doublon possible",""))</f>
        <v/>
      </c>
      <c r="U160" s="163">
        <f>IF($G160="Entretien",COUNTIF($G$6:$G160,"Entretien"),"")</f>
        <v/>
      </c>
      <c r="W160" s="226">
        <f>IF($E160="","",IF(COUNTIF($E$6:$E160,$E160)=1,MAX($W$5:W159)+1,""))</f>
        <v/>
      </c>
    </row>
    <row r="161" ht="15" customHeight="1" s="164">
      <c r="C161" s="234" t="n"/>
      <c r="D161" s="234" t="n"/>
      <c r="E161" s="234" t="n"/>
      <c r="L161" s="234" t="n"/>
      <c r="N161" s="196">
        <f>IF($F161="","",TODAY()-$F161)</f>
        <v/>
      </c>
      <c r="O161" s="196">
        <f>IF($F161="","",IF($G161="Entretien","Suivre de près",IF($G161="Offre","Clôturé - Offre",IF($G161="Refusé","Clôturé",IF(AND($G161="Candidature envoyée",(TODAY()-$F161)&gt;14),"A relancer","En cours")))))</f>
        <v/>
      </c>
      <c r="P161" s="163">
        <f>IF($O161="A relancer",COUNTIF($O$6:$O161,"A relancer"),"")</f>
        <v/>
      </c>
      <c r="Q161" s="196">
        <f>IF($F161="","",WEEKNUM($F161,2))</f>
        <v/>
      </c>
      <c r="R161" s="196">
        <f>IF($F161="","",IF($G161="Offre",100,IF($G161="Entretien",90,IF($G161="Refusé",0,MIN(70,20+($N161*2)+IF($I161&lt;&gt;"",10,0)+IF($J161&lt;&gt;"",5,0))))))</f>
        <v/>
      </c>
      <c r="S161" s="169">
        <f>IF($I161&lt;&gt;"",MAX($S$5:$S160)+1,"")</f>
        <v/>
      </c>
      <c r="T161" s="196">
        <f>IF($C161="","",IF(COUNTIF($C$6:$C161,$C161)&gt;1,"Doublon possible",""))</f>
        <v/>
      </c>
      <c r="U161" s="163">
        <f>IF($G161="Entretien",COUNTIF($G$6:$G161,"Entretien"),"")</f>
        <v/>
      </c>
      <c r="W161" s="226">
        <f>IF($E161="","",IF(COUNTIF($E$6:$E161,$E161)=1,MAX($W$5:W160)+1,""))</f>
        <v/>
      </c>
    </row>
    <row r="162" ht="15" customHeight="1" s="164">
      <c r="C162" s="234" t="n"/>
      <c r="D162" s="234" t="n"/>
      <c r="E162" s="234" t="n"/>
      <c r="L162" s="234" t="n"/>
      <c r="N162" s="196">
        <f>IF($F162="","",TODAY()-$F162)</f>
        <v/>
      </c>
      <c r="O162" s="196">
        <f>IF($F162="","",IF($G162="Entretien","Suivre de près",IF($G162="Offre","Clôturé - Offre",IF($G162="Refusé","Clôturé",IF(AND($G162="Candidature envoyée",(TODAY()-$F162)&gt;14),"A relancer","En cours")))))</f>
        <v/>
      </c>
      <c r="P162" s="163">
        <f>IF($O162="A relancer",COUNTIF($O$6:$O162,"A relancer"),"")</f>
        <v/>
      </c>
      <c r="Q162" s="196">
        <f>IF($F162="","",WEEKNUM($F162,2))</f>
        <v/>
      </c>
      <c r="R162" s="196">
        <f>IF($F162="","",IF($G162="Offre",100,IF($G162="Entretien",90,IF($G162="Refusé",0,MIN(70,20+($N162*2)+IF($I162&lt;&gt;"",10,0)+IF($J162&lt;&gt;"",5,0))))))</f>
        <v/>
      </c>
      <c r="S162" s="169">
        <f>IF($I162&lt;&gt;"",MAX($S$5:$S161)+1,"")</f>
        <v/>
      </c>
      <c r="T162" s="196">
        <f>IF($C162="","",IF(COUNTIF($C$6:$C162,$C162)&gt;1,"Doublon possible",""))</f>
        <v/>
      </c>
      <c r="U162" s="163">
        <f>IF($G162="Entretien",COUNTIF($G$6:$G162,"Entretien"),"")</f>
        <v/>
      </c>
      <c r="W162" s="226">
        <f>IF($E162="","",IF(COUNTIF($E$6:$E162,$E162)=1,MAX($W$5:W161)+1,""))</f>
        <v/>
      </c>
    </row>
    <row r="163" ht="15" customHeight="1" s="164">
      <c r="C163" s="234" t="n"/>
      <c r="D163" s="234" t="n"/>
      <c r="E163" s="234" t="n"/>
      <c r="L163" s="234" t="n"/>
      <c r="N163" s="196">
        <f>IF($F163="","",TODAY()-$F163)</f>
        <v/>
      </c>
      <c r="O163" s="196">
        <f>IF($F163="","",IF($G163="Entretien","Suivre de près",IF($G163="Offre","Clôturé - Offre",IF($G163="Refusé","Clôturé",IF(AND($G163="Candidature envoyée",(TODAY()-$F163)&gt;14),"A relancer","En cours")))))</f>
        <v/>
      </c>
      <c r="P163" s="163">
        <f>IF($O163="A relancer",COUNTIF($O$6:$O163,"A relancer"),"")</f>
        <v/>
      </c>
      <c r="Q163" s="196">
        <f>IF($F163="","",WEEKNUM($F163,2))</f>
        <v/>
      </c>
      <c r="R163" s="196">
        <f>IF($F163="","",IF($G163="Offre",100,IF($G163="Entretien",90,IF($G163="Refusé",0,MIN(70,20+($N163*2)+IF($I163&lt;&gt;"",10,0)+IF($J163&lt;&gt;"",5,0))))))</f>
        <v/>
      </c>
      <c r="S163" s="169">
        <f>IF($I163&lt;&gt;"",MAX($S$5:$S162)+1,"")</f>
        <v/>
      </c>
      <c r="T163" s="196">
        <f>IF($C163="","",IF(COUNTIF($C$6:$C163,$C163)&gt;1,"Doublon possible",""))</f>
        <v/>
      </c>
      <c r="U163" s="163">
        <f>IF($G163="Entretien",COUNTIF($G$6:$G163,"Entretien"),"")</f>
        <v/>
      </c>
      <c r="W163" s="226">
        <f>IF($E163="","",IF(COUNTIF($E$6:$E163,$E163)=1,MAX($W$5:W162)+1,""))</f>
        <v/>
      </c>
    </row>
    <row r="164" ht="15" customHeight="1" s="164">
      <c r="C164" s="234" t="n"/>
      <c r="D164" s="234" t="n"/>
      <c r="E164" s="234" t="n"/>
      <c r="L164" s="234" t="n"/>
      <c r="N164" s="196">
        <f>IF($F164="","",TODAY()-$F164)</f>
        <v/>
      </c>
      <c r="O164" s="196">
        <f>IF($F164="","",IF($G164="Entretien","Suivre de près",IF($G164="Offre","Clôturé - Offre",IF($G164="Refusé","Clôturé",IF(AND($G164="Candidature envoyée",(TODAY()-$F164)&gt;14),"A relancer","En cours")))))</f>
        <v/>
      </c>
      <c r="P164" s="163">
        <f>IF($O164="A relancer",COUNTIF($O$6:$O164,"A relancer"),"")</f>
        <v/>
      </c>
      <c r="Q164" s="196">
        <f>IF($F164="","",WEEKNUM($F164,2))</f>
        <v/>
      </c>
      <c r="R164" s="196">
        <f>IF($F164="","",IF($G164="Offre",100,IF($G164="Entretien",90,IF($G164="Refusé",0,MIN(70,20+($N164*2)+IF($I164&lt;&gt;"",10,0)+IF($J164&lt;&gt;"",5,0))))))</f>
        <v/>
      </c>
      <c r="S164" s="169">
        <f>IF($I164&lt;&gt;"",MAX($S$5:$S163)+1,"")</f>
        <v/>
      </c>
      <c r="T164" s="196">
        <f>IF($C164="","",IF(COUNTIF($C$6:$C164,$C164)&gt;1,"Doublon possible",""))</f>
        <v/>
      </c>
      <c r="U164" s="163">
        <f>IF($G164="Entretien",COUNTIF($G$6:$G164,"Entretien"),"")</f>
        <v/>
      </c>
      <c r="W164" s="226">
        <f>IF($E164="","",IF(COUNTIF($E$6:$E164,$E164)=1,MAX($W$5:W163)+1,""))</f>
        <v/>
      </c>
    </row>
    <row r="165" ht="15" customHeight="1" s="164">
      <c r="C165" s="234" t="n"/>
      <c r="D165" s="234" t="n"/>
      <c r="E165" s="234" t="n"/>
      <c r="L165" s="234" t="n"/>
      <c r="N165" s="196">
        <f>IF($F165="","",TODAY()-$F165)</f>
        <v/>
      </c>
      <c r="O165" s="196">
        <f>IF($F165="","",IF($G165="Entretien","Suivre de près",IF($G165="Offre","Clôturé - Offre",IF($G165="Refusé","Clôturé",IF(AND($G165="Candidature envoyée",(TODAY()-$F165)&gt;14),"A relancer","En cours")))))</f>
        <v/>
      </c>
      <c r="P165" s="163">
        <f>IF($O165="A relancer",COUNTIF($O$6:$O165,"A relancer"),"")</f>
        <v/>
      </c>
      <c r="Q165" s="196">
        <f>IF($F165="","",WEEKNUM($F165,2))</f>
        <v/>
      </c>
      <c r="R165" s="196">
        <f>IF($F165="","",IF($G165="Offre",100,IF($G165="Entretien",90,IF($G165="Refusé",0,MIN(70,20+($N165*2)+IF($I165&lt;&gt;"",10,0)+IF($J165&lt;&gt;"",5,0))))))</f>
        <v/>
      </c>
      <c r="S165" s="169">
        <f>IF($I165&lt;&gt;"",MAX($S$5:$S164)+1,"")</f>
        <v/>
      </c>
      <c r="T165" s="196">
        <f>IF($C165="","",IF(COUNTIF($C$6:$C165,$C165)&gt;1,"Doublon possible",""))</f>
        <v/>
      </c>
      <c r="U165" s="163">
        <f>IF($G165="Entretien",COUNTIF($G$6:$G165,"Entretien"),"")</f>
        <v/>
      </c>
      <c r="W165" s="226">
        <f>IF($E165="","",IF(COUNTIF($E$6:$E165,$E165)=1,MAX($W$5:W164)+1,""))</f>
        <v/>
      </c>
    </row>
    <row r="166" ht="15" customHeight="1" s="164">
      <c r="C166" s="234" t="n"/>
      <c r="D166" s="234" t="n"/>
      <c r="E166" s="234" t="n"/>
      <c r="L166" s="234" t="n"/>
      <c r="N166" s="196">
        <f>IF($F166="","",TODAY()-$F166)</f>
        <v/>
      </c>
      <c r="O166" s="196">
        <f>IF($F166="","",IF($G166="Entretien","Suivre de près",IF($G166="Offre","Clôturé - Offre",IF($G166="Refusé","Clôturé",IF(AND($G166="Candidature envoyée",(TODAY()-$F166)&gt;14),"A relancer","En cours")))))</f>
        <v/>
      </c>
      <c r="P166" s="163">
        <f>IF($O166="A relancer",COUNTIF($O$6:$O166,"A relancer"),"")</f>
        <v/>
      </c>
      <c r="Q166" s="196">
        <f>IF($F166="","",WEEKNUM($F166,2))</f>
        <v/>
      </c>
      <c r="R166" s="196">
        <f>IF($F166="","",IF($G166="Offre",100,IF($G166="Entretien",90,IF($G166="Refusé",0,MIN(70,20+($N166*2)+IF($I166&lt;&gt;"",10,0)+IF($J166&lt;&gt;"",5,0))))))</f>
        <v/>
      </c>
      <c r="S166" s="169">
        <f>IF($I166&lt;&gt;"",MAX($S$5:$S165)+1,"")</f>
        <v/>
      </c>
      <c r="T166" s="196">
        <f>IF($C166="","",IF(COUNTIF($C$6:$C166,$C166)&gt;1,"Doublon possible",""))</f>
        <v/>
      </c>
      <c r="U166" s="163">
        <f>IF($G166="Entretien",COUNTIF($G$6:$G166,"Entretien"),"")</f>
        <v/>
      </c>
      <c r="W166" s="226">
        <f>IF($E166="","",IF(COUNTIF($E$6:$E166,$E166)=1,MAX($W$5:W165)+1,""))</f>
        <v/>
      </c>
    </row>
    <row r="167" ht="15" customHeight="1" s="164">
      <c r="C167" s="234" t="n"/>
      <c r="D167" s="234" t="n"/>
      <c r="E167" s="234" t="n"/>
      <c r="L167" s="234" t="n"/>
      <c r="N167" s="196">
        <f>IF($F167="","",TODAY()-$F167)</f>
        <v/>
      </c>
      <c r="O167" s="196">
        <f>IF($F167="","",IF($G167="Entretien","Suivre de près",IF($G167="Offre","Clôturé - Offre",IF($G167="Refusé","Clôturé",IF(AND($G167="Candidature envoyée",(TODAY()-$F167)&gt;14),"A relancer","En cours")))))</f>
        <v/>
      </c>
      <c r="P167" s="163">
        <f>IF($O167="A relancer",COUNTIF($O$6:$O167,"A relancer"),"")</f>
        <v/>
      </c>
      <c r="Q167" s="196">
        <f>IF($F167="","",WEEKNUM($F167,2))</f>
        <v/>
      </c>
      <c r="R167" s="196">
        <f>IF($F167="","",IF($G167="Offre",100,IF($G167="Entretien",90,IF($G167="Refusé",0,MIN(70,20+($N167*2)+IF($I167&lt;&gt;"",10,0)+IF($J167&lt;&gt;"",5,0))))))</f>
        <v/>
      </c>
      <c r="S167" s="169">
        <f>IF($I167&lt;&gt;"",MAX($S$5:$S166)+1,"")</f>
        <v/>
      </c>
      <c r="T167" s="196">
        <f>IF($C167="","",IF(COUNTIF($C$6:$C167,$C167)&gt;1,"Doublon possible",""))</f>
        <v/>
      </c>
      <c r="U167" s="163">
        <f>IF($G167="Entretien",COUNTIF($G$6:$G167,"Entretien"),"")</f>
        <v/>
      </c>
      <c r="W167" s="226">
        <f>IF($E167="","",IF(COUNTIF($E$6:$E167,$E167)=1,MAX($W$5:W166)+1,""))</f>
        <v/>
      </c>
    </row>
    <row r="168" ht="15" customHeight="1" s="164">
      <c r="C168" s="234" t="n"/>
      <c r="D168" s="234" t="n"/>
      <c r="E168" s="234" t="n"/>
      <c r="L168" s="234" t="n"/>
      <c r="N168" s="196">
        <f>IF($F168="","",TODAY()-$F168)</f>
        <v/>
      </c>
      <c r="O168" s="196">
        <f>IF($F168="","",IF($G168="Entretien","Suivre de près",IF($G168="Offre","Clôturé - Offre",IF($G168="Refusé","Clôturé",IF(AND($G168="Candidature envoyée",(TODAY()-$F168)&gt;14),"A relancer","En cours")))))</f>
        <v/>
      </c>
      <c r="P168" s="163">
        <f>IF($O168="A relancer",COUNTIF($O$6:$O168,"A relancer"),"")</f>
        <v/>
      </c>
      <c r="Q168" s="196">
        <f>IF($F168="","",WEEKNUM($F168,2))</f>
        <v/>
      </c>
      <c r="R168" s="196">
        <f>IF($F168="","",IF($G168="Offre",100,IF($G168="Entretien",90,IF($G168="Refusé",0,MIN(70,20+($N168*2)+IF($I168&lt;&gt;"",10,0)+IF($J168&lt;&gt;"",5,0))))))</f>
        <v/>
      </c>
      <c r="S168" s="169">
        <f>IF($I168&lt;&gt;"",MAX($S$5:$S167)+1,"")</f>
        <v/>
      </c>
      <c r="T168" s="196">
        <f>IF($C168="","",IF(COUNTIF($C$6:$C168,$C168)&gt;1,"Doublon possible",""))</f>
        <v/>
      </c>
      <c r="U168" s="163">
        <f>IF($G168="Entretien",COUNTIF($G$6:$G168,"Entretien"),"")</f>
        <v/>
      </c>
      <c r="W168" s="226">
        <f>IF($E168="","",IF(COUNTIF($E$6:$E168,$E168)=1,MAX($W$5:W167)+1,""))</f>
        <v/>
      </c>
    </row>
    <row r="169" ht="15" customHeight="1" s="164">
      <c r="C169" s="234" t="n"/>
      <c r="D169" s="234" t="n"/>
      <c r="E169" s="234" t="n"/>
      <c r="L169" s="234" t="n"/>
      <c r="N169" s="196">
        <f>IF($F169="","",TODAY()-$F169)</f>
        <v/>
      </c>
      <c r="O169" s="196">
        <f>IF($F169="","",IF($G169="Entretien","Suivre de près",IF($G169="Offre","Clôturé - Offre",IF($G169="Refusé","Clôturé",IF(AND($G169="Candidature envoyée",(TODAY()-$F169)&gt;14),"A relancer","En cours")))))</f>
        <v/>
      </c>
      <c r="P169" s="163">
        <f>IF($O169="A relancer",COUNTIF($O$6:$O169,"A relancer"),"")</f>
        <v/>
      </c>
      <c r="Q169" s="196">
        <f>IF($F169="","",WEEKNUM($F169,2))</f>
        <v/>
      </c>
      <c r="R169" s="196">
        <f>IF($F169="","",IF($G169="Offre",100,IF($G169="Entretien",90,IF($G169="Refusé",0,MIN(70,20+($N169*2)+IF($I169&lt;&gt;"",10,0)+IF($J169&lt;&gt;"",5,0))))))</f>
        <v/>
      </c>
      <c r="S169" s="169">
        <f>IF($I169&lt;&gt;"",MAX($S$5:$S168)+1,"")</f>
        <v/>
      </c>
      <c r="T169" s="196">
        <f>IF($C169="","",IF(COUNTIF($C$6:$C169,$C169)&gt;1,"Doublon possible",""))</f>
        <v/>
      </c>
      <c r="U169" s="163">
        <f>IF($G169="Entretien",COUNTIF($G$6:$G169,"Entretien"),"")</f>
        <v/>
      </c>
      <c r="W169" s="226">
        <f>IF($E169="","",IF(COUNTIF($E$6:$E169,$E169)=1,MAX($W$5:W168)+1,""))</f>
        <v/>
      </c>
    </row>
    <row r="170" ht="15" customHeight="1" s="164">
      <c r="C170" s="234" t="n"/>
      <c r="D170" s="234" t="n"/>
      <c r="E170" s="234" t="n"/>
      <c r="L170" s="234" t="n"/>
      <c r="N170" s="196">
        <f>IF($F170="","",TODAY()-$F170)</f>
        <v/>
      </c>
      <c r="O170" s="196">
        <f>IF($F170="","",IF($G170="Entretien","Suivre de près",IF($G170="Offre","Clôturé - Offre",IF($G170="Refusé","Clôturé",IF(AND($G170="Candidature envoyée",(TODAY()-$F170)&gt;14),"A relancer","En cours")))))</f>
        <v/>
      </c>
      <c r="P170" s="163">
        <f>IF($O170="A relancer",COUNTIF($O$6:$O170,"A relancer"),"")</f>
        <v/>
      </c>
      <c r="Q170" s="196">
        <f>IF($F170="","",WEEKNUM($F170,2))</f>
        <v/>
      </c>
      <c r="R170" s="196">
        <f>IF($F170="","",IF($G170="Offre",100,IF($G170="Entretien",90,IF($G170="Refusé",0,MIN(70,20+($N170*2)+IF($I170&lt;&gt;"",10,0)+IF($J170&lt;&gt;"",5,0))))))</f>
        <v/>
      </c>
      <c r="S170" s="169">
        <f>IF($I170&lt;&gt;"",MAX($S$5:$S169)+1,"")</f>
        <v/>
      </c>
      <c r="T170" s="196">
        <f>IF($C170="","",IF(COUNTIF($C$6:$C170,$C170)&gt;1,"Doublon possible",""))</f>
        <v/>
      </c>
      <c r="U170" s="163">
        <f>IF($G170="Entretien",COUNTIF($G$6:$G170,"Entretien"),"")</f>
        <v/>
      </c>
      <c r="W170" s="226">
        <f>IF($E170="","",IF(COUNTIF($E$6:$E170,$E170)=1,MAX($W$5:W169)+1,""))</f>
        <v/>
      </c>
    </row>
    <row r="171" ht="15" customHeight="1" s="164">
      <c r="C171" s="234" t="n"/>
      <c r="D171" s="234" t="n"/>
      <c r="E171" s="234" t="n"/>
      <c r="L171" s="234" t="n"/>
      <c r="N171" s="196">
        <f>IF($F171="","",TODAY()-$F171)</f>
        <v/>
      </c>
      <c r="O171" s="196">
        <f>IF($F171="","",IF($G171="Entretien","Suivre de près",IF($G171="Offre","Clôturé - Offre",IF($G171="Refusé","Clôturé",IF(AND($G171="Candidature envoyée",(TODAY()-$F171)&gt;14),"A relancer","En cours")))))</f>
        <v/>
      </c>
      <c r="P171" s="163">
        <f>IF($O171="A relancer",COUNTIF($O$6:$O171,"A relancer"),"")</f>
        <v/>
      </c>
      <c r="Q171" s="196">
        <f>IF($F171="","",WEEKNUM($F171,2))</f>
        <v/>
      </c>
      <c r="R171" s="196">
        <f>IF($F171="","",IF($G171="Offre",100,IF($G171="Entretien",90,IF($G171="Refusé",0,MIN(70,20+($N171*2)+IF($I171&lt;&gt;"",10,0)+IF($J171&lt;&gt;"",5,0))))))</f>
        <v/>
      </c>
      <c r="S171" s="169">
        <f>IF($I171&lt;&gt;"",MAX($S$5:$S170)+1,"")</f>
        <v/>
      </c>
      <c r="T171" s="196">
        <f>IF($C171="","",IF(COUNTIF($C$6:$C171,$C171)&gt;1,"Doublon possible",""))</f>
        <v/>
      </c>
      <c r="U171" s="163">
        <f>IF($G171="Entretien",COUNTIF($G$6:$G171,"Entretien"),"")</f>
        <v/>
      </c>
      <c r="W171" s="226">
        <f>IF($E171="","",IF(COUNTIF($E$6:$E171,$E171)=1,MAX($W$5:W170)+1,""))</f>
        <v/>
      </c>
    </row>
    <row r="172" ht="15" customHeight="1" s="164">
      <c r="C172" s="234" t="n"/>
      <c r="D172" s="234" t="n"/>
      <c r="E172" s="234" t="n"/>
      <c r="L172" s="234" t="n"/>
      <c r="N172" s="196">
        <f>IF($F172="","",TODAY()-$F172)</f>
        <v/>
      </c>
      <c r="O172" s="196">
        <f>IF($F172="","",IF($G172="Entretien","Suivre de près",IF($G172="Offre","Clôturé - Offre",IF($G172="Refusé","Clôturé",IF(AND($G172="Candidature envoyée",(TODAY()-$F172)&gt;14),"A relancer","En cours")))))</f>
        <v/>
      </c>
      <c r="P172" s="163">
        <f>IF($O172="A relancer",COUNTIF($O$6:$O172,"A relancer"),"")</f>
        <v/>
      </c>
      <c r="Q172" s="196">
        <f>IF($F172="","",WEEKNUM($F172,2))</f>
        <v/>
      </c>
      <c r="R172" s="196">
        <f>IF($F172="","",IF($G172="Offre",100,IF($G172="Entretien",90,IF($G172="Refusé",0,MIN(70,20+($N172*2)+IF($I172&lt;&gt;"",10,0)+IF($J172&lt;&gt;"",5,0))))))</f>
        <v/>
      </c>
      <c r="S172" s="169">
        <f>IF($I172&lt;&gt;"",MAX($S$5:$S171)+1,"")</f>
        <v/>
      </c>
      <c r="T172" s="196">
        <f>IF($C172="","",IF(COUNTIF($C$6:$C172,$C172)&gt;1,"Doublon possible",""))</f>
        <v/>
      </c>
      <c r="U172" s="163">
        <f>IF($G172="Entretien",COUNTIF($G$6:$G172,"Entretien"),"")</f>
        <v/>
      </c>
      <c r="W172" s="226">
        <f>IF($E172="","",IF(COUNTIF($E$6:$E172,$E172)=1,MAX($W$5:W171)+1,""))</f>
        <v/>
      </c>
    </row>
    <row r="173" ht="15" customHeight="1" s="164">
      <c r="C173" s="234" t="n"/>
      <c r="D173" s="234" t="n"/>
      <c r="E173" s="234" t="n"/>
      <c r="L173" s="234" t="n"/>
      <c r="N173" s="196">
        <f>IF($F173="","",TODAY()-$F173)</f>
        <v/>
      </c>
      <c r="O173" s="196">
        <f>IF($F173="","",IF($G173="Entretien","Suivre de près",IF($G173="Offre","Clôturé - Offre",IF($G173="Refusé","Clôturé",IF(AND($G173="Candidature envoyée",(TODAY()-$F173)&gt;14),"A relancer","En cours")))))</f>
        <v/>
      </c>
      <c r="P173" s="163">
        <f>IF($O173="A relancer",COUNTIF($O$6:$O173,"A relancer"),"")</f>
        <v/>
      </c>
      <c r="Q173" s="196">
        <f>IF($F173="","",WEEKNUM($F173,2))</f>
        <v/>
      </c>
      <c r="R173" s="196">
        <f>IF($F173="","",IF($G173="Offre",100,IF($G173="Entretien",90,IF($G173="Refusé",0,MIN(70,20+($N173*2)+IF($I173&lt;&gt;"",10,0)+IF($J173&lt;&gt;"",5,0))))))</f>
        <v/>
      </c>
      <c r="S173" s="169">
        <f>IF($I173&lt;&gt;"",MAX($S$5:$S172)+1,"")</f>
        <v/>
      </c>
      <c r="T173" s="196">
        <f>IF($C173="","",IF(COUNTIF($C$6:$C173,$C173)&gt;1,"Doublon possible",""))</f>
        <v/>
      </c>
      <c r="U173" s="163">
        <f>IF($G173="Entretien",COUNTIF($G$6:$G173,"Entretien"),"")</f>
        <v/>
      </c>
      <c r="W173" s="226">
        <f>IF($E173="","",IF(COUNTIF($E$6:$E173,$E173)=1,MAX($W$5:W172)+1,""))</f>
        <v/>
      </c>
    </row>
    <row r="174" ht="15" customHeight="1" s="164">
      <c r="C174" s="234" t="n"/>
      <c r="D174" s="234" t="n"/>
      <c r="E174" s="234" t="n"/>
      <c r="L174" s="234" t="n"/>
      <c r="N174" s="196">
        <f>IF($F174="","",TODAY()-$F174)</f>
        <v/>
      </c>
      <c r="O174" s="196">
        <f>IF($F174="","",IF($G174="Entretien","Suivre de près",IF($G174="Offre","Clôturé - Offre",IF($G174="Refusé","Clôturé",IF(AND($G174="Candidature envoyée",(TODAY()-$F174)&gt;14),"A relancer","En cours")))))</f>
        <v/>
      </c>
      <c r="P174" s="163">
        <f>IF($O174="A relancer",COUNTIF($O$6:$O174,"A relancer"),"")</f>
        <v/>
      </c>
      <c r="Q174" s="196">
        <f>IF($F174="","",WEEKNUM($F174,2))</f>
        <v/>
      </c>
      <c r="R174" s="196">
        <f>IF($F174="","",IF($G174="Offre",100,IF($G174="Entretien",90,IF($G174="Refusé",0,MIN(70,20+($N174*2)+IF($I174&lt;&gt;"",10,0)+IF($J174&lt;&gt;"",5,0))))))</f>
        <v/>
      </c>
      <c r="S174" s="169">
        <f>IF($I174&lt;&gt;"",MAX($S$5:$S173)+1,"")</f>
        <v/>
      </c>
      <c r="T174" s="196">
        <f>IF($C174="","",IF(COUNTIF($C$6:$C174,$C174)&gt;1,"Doublon possible",""))</f>
        <v/>
      </c>
      <c r="U174" s="163">
        <f>IF($G174="Entretien",COUNTIF($G$6:$G174,"Entretien"),"")</f>
        <v/>
      </c>
      <c r="W174" s="226">
        <f>IF($E174="","",IF(COUNTIF($E$6:$E174,$E174)=1,MAX($W$5:W173)+1,""))</f>
        <v/>
      </c>
    </row>
    <row r="175" ht="15" customHeight="1" s="164">
      <c r="C175" s="234" t="n"/>
      <c r="D175" s="234" t="n"/>
      <c r="E175" s="234" t="n"/>
      <c r="L175" s="234" t="n"/>
      <c r="N175" s="196">
        <f>IF($F175="","",TODAY()-$F175)</f>
        <v/>
      </c>
      <c r="O175" s="196">
        <f>IF($F175="","",IF($G175="Entretien","Suivre de près",IF($G175="Offre","Clôturé - Offre",IF($G175="Refusé","Clôturé",IF(AND($G175="Candidature envoyée",(TODAY()-$F175)&gt;14),"A relancer","En cours")))))</f>
        <v/>
      </c>
      <c r="P175" s="163">
        <f>IF($O175="A relancer",COUNTIF($O$6:$O175,"A relancer"),"")</f>
        <v/>
      </c>
      <c r="Q175" s="196">
        <f>IF($F175="","",WEEKNUM($F175,2))</f>
        <v/>
      </c>
      <c r="R175" s="196">
        <f>IF($F175="","",IF($G175="Offre",100,IF($G175="Entretien",90,IF($G175="Refusé",0,MIN(70,20+($N175*2)+IF($I175&lt;&gt;"",10,0)+IF($J175&lt;&gt;"",5,0))))))</f>
        <v/>
      </c>
      <c r="S175" s="169">
        <f>IF($I175&lt;&gt;"",MAX($S$5:$S174)+1,"")</f>
        <v/>
      </c>
      <c r="T175" s="196">
        <f>IF($C175="","",IF(COUNTIF($C$6:$C175,$C175)&gt;1,"Doublon possible",""))</f>
        <v/>
      </c>
      <c r="U175" s="163">
        <f>IF($G175="Entretien",COUNTIF($G$6:$G175,"Entretien"),"")</f>
        <v/>
      </c>
      <c r="W175" s="226">
        <f>IF($E175="","",IF(COUNTIF($E$6:$E175,$E175)=1,MAX($W$5:W174)+1,""))</f>
        <v/>
      </c>
    </row>
    <row r="176" ht="15" customHeight="1" s="164">
      <c r="C176" s="234" t="n"/>
      <c r="D176" s="234" t="n"/>
      <c r="E176" s="234" t="n"/>
      <c r="L176" s="234" t="n"/>
      <c r="N176" s="196">
        <f>IF($F176="","",TODAY()-$F176)</f>
        <v/>
      </c>
      <c r="O176" s="196">
        <f>IF($F176="","",IF($G176="Entretien","Suivre de près",IF($G176="Offre","Clôturé - Offre",IF($G176="Refusé","Clôturé",IF(AND($G176="Candidature envoyée",(TODAY()-$F176)&gt;14),"A relancer","En cours")))))</f>
        <v/>
      </c>
      <c r="P176" s="163">
        <f>IF($O176="A relancer",COUNTIF($O$6:$O176,"A relancer"),"")</f>
        <v/>
      </c>
      <c r="Q176" s="196">
        <f>IF($F176="","",WEEKNUM($F176,2))</f>
        <v/>
      </c>
      <c r="R176" s="196">
        <f>IF($F176="","",IF($G176="Offre",100,IF($G176="Entretien",90,IF($G176="Refusé",0,MIN(70,20+($N176*2)+IF($I176&lt;&gt;"",10,0)+IF($J176&lt;&gt;"",5,0))))))</f>
        <v/>
      </c>
      <c r="S176" s="169">
        <f>IF($I176&lt;&gt;"",MAX($S$5:$S175)+1,"")</f>
        <v/>
      </c>
      <c r="T176" s="196">
        <f>IF($C176="","",IF(COUNTIF($C$6:$C176,$C176)&gt;1,"Doublon possible",""))</f>
        <v/>
      </c>
      <c r="U176" s="163">
        <f>IF($G176="Entretien",COUNTIF($G$6:$G176,"Entretien"),"")</f>
        <v/>
      </c>
      <c r="W176" s="226">
        <f>IF($E176="","",IF(COUNTIF($E$6:$E176,$E176)=1,MAX($W$5:W175)+1,""))</f>
        <v/>
      </c>
    </row>
    <row r="177" ht="15" customHeight="1" s="164">
      <c r="C177" s="234" t="n"/>
      <c r="D177" s="234" t="n"/>
      <c r="E177" s="234" t="n"/>
      <c r="L177" s="234" t="n"/>
      <c r="N177" s="196">
        <f>IF($F177="","",TODAY()-$F177)</f>
        <v/>
      </c>
      <c r="O177" s="196">
        <f>IF($F177="","",IF($G177="Entretien","Suivre de près",IF($G177="Offre","Clôturé - Offre",IF($G177="Refusé","Clôturé",IF(AND($G177="Candidature envoyée",(TODAY()-$F177)&gt;14),"A relancer","En cours")))))</f>
        <v/>
      </c>
      <c r="P177" s="163">
        <f>IF($O177="A relancer",COUNTIF($O$6:$O177,"A relancer"),"")</f>
        <v/>
      </c>
      <c r="Q177" s="196">
        <f>IF($F177="","",WEEKNUM($F177,2))</f>
        <v/>
      </c>
      <c r="R177" s="196">
        <f>IF($F177="","",IF($G177="Offre",100,IF($G177="Entretien",90,IF($G177="Refusé",0,MIN(70,20+($N177*2)+IF($I177&lt;&gt;"",10,0)+IF($J177&lt;&gt;"",5,0))))))</f>
        <v/>
      </c>
      <c r="S177" s="169">
        <f>IF($I177&lt;&gt;"",MAX($S$5:$S176)+1,"")</f>
        <v/>
      </c>
      <c r="T177" s="196">
        <f>IF($C177="","",IF(COUNTIF($C$6:$C177,$C177)&gt;1,"Doublon possible",""))</f>
        <v/>
      </c>
      <c r="U177" s="163">
        <f>IF($G177="Entretien",COUNTIF($G$6:$G177,"Entretien"),"")</f>
        <v/>
      </c>
      <c r="W177" s="226">
        <f>IF($E177="","",IF(COUNTIF($E$6:$E177,$E177)=1,MAX($W$5:W176)+1,""))</f>
        <v/>
      </c>
    </row>
    <row r="178" ht="15" customHeight="1" s="164">
      <c r="C178" s="234" t="n"/>
      <c r="D178" s="234" t="n"/>
      <c r="E178" s="234" t="n"/>
      <c r="L178" s="234" t="n"/>
      <c r="N178" s="196">
        <f>IF($F178="","",TODAY()-$F178)</f>
        <v/>
      </c>
      <c r="O178" s="196">
        <f>IF($F178="","",IF($G178="Entretien","Suivre de près",IF($G178="Offre","Clôturé - Offre",IF($G178="Refusé","Clôturé",IF(AND($G178="Candidature envoyée",(TODAY()-$F178)&gt;14),"A relancer","En cours")))))</f>
        <v/>
      </c>
      <c r="P178" s="163">
        <f>IF($O178="A relancer",COUNTIF($O$6:$O178,"A relancer"),"")</f>
        <v/>
      </c>
      <c r="Q178" s="196">
        <f>IF($F178="","",WEEKNUM($F178,2))</f>
        <v/>
      </c>
      <c r="R178" s="196">
        <f>IF($F178="","",IF($G178="Offre",100,IF($G178="Entretien",90,IF($G178="Refusé",0,MIN(70,20+($N178*2)+IF($I178&lt;&gt;"",10,0)+IF($J178&lt;&gt;"",5,0))))))</f>
        <v/>
      </c>
      <c r="S178" s="169">
        <f>IF($I178&lt;&gt;"",MAX($S$5:$S177)+1,"")</f>
        <v/>
      </c>
      <c r="T178" s="196">
        <f>IF($C178="","",IF(COUNTIF($C$6:$C178,$C178)&gt;1,"Doublon possible",""))</f>
        <v/>
      </c>
      <c r="U178" s="163">
        <f>IF($G178="Entretien",COUNTIF($G$6:$G178,"Entretien"),"")</f>
        <v/>
      </c>
      <c r="W178" s="226">
        <f>IF($E178="","",IF(COUNTIF($E$6:$E178,$E178)=1,MAX($W$5:W177)+1,""))</f>
        <v/>
      </c>
    </row>
    <row r="179" ht="15" customHeight="1" s="164">
      <c r="C179" s="234" t="n"/>
      <c r="D179" s="234" t="n"/>
      <c r="E179" s="234" t="n"/>
      <c r="L179" s="234" t="n"/>
      <c r="N179" s="196">
        <f>IF($F179="","",TODAY()-$F179)</f>
        <v/>
      </c>
      <c r="O179" s="196">
        <f>IF($F179="","",IF($G179="Entretien","Suivre de près",IF($G179="Offre","Clôturé - Offre",IF($G179="Refusé","Clôturé",IF(AND($G179="Candidature envoyée",(TODAY()-$F179)&gt;14),"A relancer","En cours")))))</f>
        <v/>
      </c>
      <c r="P179" s="163">
        <f>IF($O179="A relancer",COUNTIF($O$6:$O179,"A relancer"),"")</f>
        <v/>
      </c>
      <c r="Q179" s="196">
        <f>IF($F179="","",WEEKNUM($F179,2))</f>
        <v/>
      </c>
      <c r="R179" s="196">
        <f>IF($F179="","",IF($G179="Offre",100,IF($G179="Entretien",90,IF($G179="Refusé",0,MIN(70,20+($N179*2)+IF($I179&lt;&gt;"",10,0)+IF($J179&lt;&gt;"",5,0))))))</f>
        <v/>
      </c>
      <c r="S179" s="169">
        <f>IF($I179&lt;&gt;"",MAX($S$5:$S178)+1,"")</f>
        <v/>
      </c>
      <c r="T179" s="196">
        <f>IF($C179="","",IF(COUNTIF($C$6:$C179,$C179)&gt;1,"Doublon possible",""))</f>
        <v/>
      </c>
      <c r="U179" s="163">
        <f>IF($G179="Entretien",COUNTIF($G$6:$G179,"Entretien"),"")</f>
        <v/>
      </c>
      <c r="W179" s="226">
        <f>IF($E179="","",IF(COUNTIF($E$6:$E179,$E179)=1,MAX($W$5:W178)+1,""))</f>
        <v/>
      </c>
    </row>
    <row r="180" ht="15" customHeight="1" s="164">
      <c r="C180" s="234" t="n"/>
      <c r="D180" s="234" t="n"/>
      <c r="E180" s="234" t="n"/>
      <c r="L180" s="234" t="n"/>
      <c r="N180" s="196">
        <f>IF($F180="","",TODAY()-$F180)</f>
        <v/>
      </c>
      <c r="O180" s="196">
        <f>IF($F180="","",IF($G180="Entretien","Suivre de près",IF($G180="Offre","Clôturé - Offre",IF($G180="Refusé","Clôturé",IF(AND($G180="Candidature envoyée",(TODAY()-$F180)&gt;14),"A relancer","En cours")))))</f>
        <v/>
      </c>
      <c r="P180" s="163">
        <f>IF($O180="A relancer",COUNTIF($O$6:$O180,"A relancer"),"")</f>
        <v/>
      </c>
      <c r="Q180" s="196">
        <f>IF($F180="","",WEEKNUM($F180,2))</f>
        <v/>
      </c>
      <c r="R180" s="196">
        <f>IF($F180="","",IF($G180="Offre",100,IF($G180="Entretien",90,IF($G180="Refusé",0,MIN(70,20+($N180*2)+IF($I180&lt;&gt;"",10,0)+IF($J180&lt;&gt;"",5,0))))))</f>
        <v/>
      </c>
      <c r="S180" s="169">
        <f>IF($I180&lt;&gt;"",MAX($S$5:$S179)+1,"")</f>
        <v/>
      </c>
      <c r="T180" s="196">
        <f>IF($C180="","",IF(COUNTIF($C$6:$C180,$C180)&gt;1,"Doublon possible",""))</f>
        <v/>
      </c>
      <c r="U180" s="163">
        <f>IF($G180="Entretien",COUNTIF($G$6:$G180,"Entretien"),"")</f>
        <v/>
      </c>
      <c r="W180" s="226">
        <f>IF($E180="","",IF(COUNTIF($E$6:$E180,$E180)=1,MAX($W$5:W179)+1,""))</f>
        <v/>
      </c>
    </row>
    <row r="181" ht="15" customHeight="1" s="164">
      <c r="C181" s="234" t="n"/>
      <c r="D181" s="234" t="n"/>
      <c r="E181" s="234" t="n"/>
      <c r="L181" s="234" t="n"/>
      <c r="N181" s="196">
        <f>IF($F181="","",TODAY()-$F181)</f>
        <v/>
      </c>
      <c r="O181" s="196">
        <f>IF($F181="","",IF($G181="Entretien","Suivre de près",IF($G181="Offre","Clôturé - Offre",IF($G181="Refusé","Clôturé",IF(AND($G181="Candidature envoyée",(TODAY()-$F181)&gt;14),"A relancer","En cours")))))</f>
        <v/>
      </c>
      <c r="P181" s="163">
        <f>IF($O181="A relancer",COUNTIF($O$6:$O181,"A relancer"),"")</f>
        <v/>
      </c>
      <c r="Q181" s="196">
        <f>IF($F181="","",WEEKNUM($F181,2))</f>
        <v/>
      </c>
      <c r="R181" s="196">
        <f>IF($F181="","",IF($G181="Offre",100,IF($G181="Entretien",90,IF($G181="Refusé",0,MIN(70,20+($N181*2)+IF($I181&lt;&gt;"",10,0)+IF($J181&lt;&gt;"",5,0))))))</f>
        <v/>
      </c>
      <c r="S181" s="169">
        <f>IF($I181&lt;&gt;"",MAX($S$5:$S180)+1,"")</f>
        <v/>
      </c>
      <c r="T181" s="196">
        <f>IF($C181="","",IF(COUNTIF($C$6:$C181,$C181)&gt;1,"Doublon possible",""))</f>
        <v/>
      </c>
      <c r="U181" s="163">
        <f>IF($G181="Entretien",COUNTIF($G$6:$G181,"Entretien"),"")</f>
        <v/>
      </c>
      <c r="W181" s="226">
        <f>IF($E181="","",IF(COUNTIF($E$6:$E181,$E181)=1,MAX($W$5:W180)+1,""))</f>
        <v/>
      </c>
    </row>
    <row r="182" ht="15" customHeight="1" s="164">
      <c r="C182" s="234" t="n"/>
      <c r="D182" s="234" t="n"/>
      <c r="E182" s="234" t="n"/>
      <c r="L182" s="234" t="n"/>
      <c r="N182" s="196">
        <f>IF($F182="","",TODAY()-$F182)</f>
        <v/>
      </c>
      <c r="O182" s="196">
        <f>IF($F182="","",IF($G182="Entretien","Suivre de près",IF($G182="Offre","Clôturé - Offre",IF($G182="Refusé","Clôturé",IF(AND($G182="Candidature envoyée",(TODAY()-$F182)&gt;14),"A relancer","En cours")))))</f>
        <v/>
      </c>
      <c r="P182" s="163">
        <f>IF($O182="A relancer",COUNTIF($O$6:$O182,"A relancer"),"")</f>
        <v/>
      </c>
      <c r="Q182" s="196">
        <f>IF($F182="","",WEEKNUM($F182,2))</f>
        <v/>
      </c>
      <c r="R182" s="196">
        <f>IF($F182="","",IF($G182="Offre",100,IF($G182="Entretien",90,IF($G182="Refusé",0,MIN(70,20+($N182*2)+IF($I182&lt;&gt;"",10,0)+IF($J182&lt;&gt;"",5,0))))))</f>
        <v/>
      </c>
      <c r="S182" s="169">
        <f>IF($I182&lt;&gt;"",MAX($S$5:$S181)+1,"")</f>
        <v/>
      </c>
      <c r="T182" s="196">
        <f>IF($C182="","",IF(COUNTIF($C$6:$C182,$C182)&gt;1,"Doublon possible",""))</f>
        <v/>
      </c>
      <c r="U182" s="163">
        <f>IF($G182="Entretien",COUNTIF($G$6:$G182,"Entretien"),"")</f>
        <v/>
      </c>
      <c r="W182" s="226">
        <f>IF($E182="","",IF(COUNTIF($E$6:$E182,$E182)=1,MAX($W$5:W181)+1,""))</f>
        <v/>
      </c>
    </row>
    <row r="183" ht="15" customHeight="1" s="164">
      <c r="C183" s="234" t="n"/>
      <c r="D183" s="234" t="n"/>
      <c r="E183" s="234" t="n"/>
      <c r="L183" s="234" t="n"/>
      <c r="N183" s="196">
        <f>IF($F183="","",TODAY()-$F183)</f>
        <v/>
      </c>
      <c r="O183" s="196">
        <f>IF($F183="","",IF($G183="Entretien","Suivre de près",IF($G183="Offre","Clôturé - Offre",IF($G183="Refusé","Clôturé",IF(AND($G183="Candidature envoyée",(TODAY()-$F183)&gt;14),"A relancer","En cours")))))</f>
        <v/>
      </c>
      <c r="P183" s="163">
        <f>IF($O183="A relancer",COUNTIF($O$6:$O183,"A relancer"),"")</f>
        <v/>
      </c>
      <c r="Q183" s="196">
        <f>IF($F183="","",WEEKNUM($F183,2))</f>
        <v/>
      </c>
      <c r="R183" s="196">
        <f>IF($F183="","",IF($G183="Offre",100,IF($G183="Entretien",90,IF($G183="Refusé",0,MIN(70,20+($N183*2)+IF($I183&lt;&gt;"",10,0)+IF($J183&lt;&gt;"",5,0))))))</f>
        <v/>
      </c>
      <c r="S183" s="169">
        <f>IF($I183&lt;&gt;"",MAX($S$5:$S182)+1,"")</f>
        <v/>
      </c>
      <c r="T183" s="196">
        <f>IF($C183="","",IF(COUNTIF($C$6:$C183,$C183)&gt;1,"Doublon possible",""))</f>
        <v/>
      </c>
      <c r="U183" s="163">
        <f>IF($G183="Entretien",COUNTIF($G$6:$G183,"Entretien"),"")</f>
        <v/>
      </c>
      <c r="W183" s="226">
        <f>IF($E183="","",IF(COUNTIF($E$6:$E183,$E183)=1,MAX($W$5:W182)+1,""))</f>
        <v/>
      </c>
    </row>
    <row r="184" ht="15" customHeight="1" s="164">
      <c r="C184" s="234" t="n"/>
      <c r="D184" s="234" t="n"/>
      <c r="E184" s="234" t="n"/>
      <c r="L184" s="234" t="n"/>
      <c r="N184" s="196">
        <f>IF($F184="","",TODAY()-$F184)</f>
        <v/>
      </c>
      <c r="O184" s="196">
        <f>IF($F184="","",IF($G184="Entretien","Suivre de près",IF($G184="Offre","Clôturé - Offre",IF($G184="Refusé","Clôturé",IF(AND($G184="Candidature envoyée",(TODAY()-$F184)&gt;14),"A relancer","En cours")))))</f>
        <v/>
      </c>
      <c r="P184" s="163">
        <f>IF($O184="A relancer",COUNTIF($O$6:$O184,"A relancer"),"")</f>
        <v/>
      </c>
      <c r="Q184" s="196">
        <f>IF($F184="","",WEEKNUM($F184,2))</f>
        <v/>
      </c>
      <c r="R184" s="196">
        <f>IF($F184="","",IF($G184="Offre",100,IF($G184="Entretien",90,IF($G184="Refusé",0,MIN(70,20+($N184*2)+IF($I184&lt;&gt;"",10,0)+IF($J184&lt;&gt;"",5,0))))))</f>
        <v/>
      </c>
      <c r="S184" s="169">
        <f>IF($I184&lt;&gt;"",MAX($S$5:$S183)+1,"")</f>
        <v/>
      </c>
      <c r="T184" s="196">
        <f>IF($C184="","",IF(COUNTIF($C$6:$C184,$C184)&gt;1,"Doublon possible",""))</f>
        <v/>
      </c>
      <c r="U184" s="163">
        <f>IF($G184="Entretien",COUNTIF($G$6:$G184,"Entretien"),"")</f>
        <v/>
      </c>
      <c r="W184" s="226">
        <f>IF($E184="","",IF(COUNTIF($E$6:$E184,$E184)=1,MAX($W$5:W183)+1,""))</f>
        <v/>
      </c>
    </row>
    <row r="185" ht="15" customHeight="1" s="164">
      <c r="C185" s="234" t="n"/>
      <c r="D185" s="234" t="n"/>
      <c r="E185" s="234" t="n"/>
      <c r="L185" s="234" t="n"/>
      <c r="N185" s="196">
        <f>IF($F185="","",TODAY()-$F185)</f>
        <v/>
      </c>
      <c r="O185" s="196">
        <f>IF($F185="","",IF($G185="Entretien","Suivre de près",IF($G185="Offre","Clôturé - Offre",IF($G185="Refusé","Clôturé",IF(AND($G185="Candidature envoyée",(TODAY()-$F185)&gt;14),"A relancer","En cours")))))</f>
        <v/>
      </c>
      <c r="P185" s="163">
        <f>IF($O185="A relancer",COUNTIF($O$6:$O185,"A relancer"),"")</f>
        <v/>
      </c>
      <c r="Q185" s="196">
        <f>IF($F185="","",WEEKNUM($F185,2))</f>
        <v/>
      </c>
      <c r="R185" s="196">
        <f>IF($F185="","",IF($G185="Offre",100,IF($G185="Entretien",90,IF($G185="Refusé",0,MIN(70,20+($N185*2)+IF($I185&lt;&gt;"",10,0)+IF($J185&lt;&gt;"",5,0))))))</f>
        <v/>
      </c>
      <c r="S185" s="169">
        <f>IF($I185&lt;&gt;"",MAX($S$5:$S184)+1,"")</f>
        <v/>
      </c>
      <c r="T185" s="196">
        <f>IF($C185="","",IF(COUNTIF($C$6:$C185,$C185)&gt;1,"Doublon possible",""))</f>
        <v/>
      </c>
      <c r="U185" s="163">
        <f>IF($G185="Entretien",COUNTIF($G$6:$G185,"Entretien"),"")</f>
        <v/>
      </c>
      <c r="W185" s="226">
        <f>IF($E185="","",IF(COUNTIF($E$6:$E185,$E185)=1,MAX($W$5:W184)+1,""))</f>
        <v/>
      </c>
    </row>
    <row r="186" ht="15" customHeight="1" s="164">
      <c r="C186" s="234" t="n"/>
      <c r="D186" s="234" t="n"/>
      <c r="E186" s="234" t="n"/>
      <c r="L186" s="234" t="n"/>
      <c r="N186" s="196">
        <f>IF($F186="","",TODAY()-$F186)</f>
        <v/>
      </c>
      <c r="O186" s="196">
        <f>IF($F186="","",IF($G186="Entretien","Suivre de près",IF($G186="Offre","Clôturé - Offre",IF($G186="Refusé","Clôturé",IF(AND($G186="Candidature envoyée",(TODAY()-$F186)&gt;14),"A relancer","En cours")))))</f>
        <v/>
      </c>
      <c r="P186" s="163">
        <f>IF($O186="A relancer",COUNTIF($O$6:$O186,"A relancer"),"")</f>
        <v/>
      </c>
      <c r="Q186" s="196">
        <f>IF($F186="","",WEEKNUM($F186,2))</f>
        <v/>
      </c>
      <c r="R186" s="196">
        <f>IF($F186="","",IF($G186="Offre",100,IF($G186="Entretien",90,IF($G186="Refusé",0,MIN(70,20+($N186*2)+IF($I186&lt;&gt;"",10,0)+IF($J186&lt;&gt;"",5,0))))))</f>
        <v/>
      </c>
      <c r="S186" s="169">
        <f>IF($I186&lt;&gt;"",MAX($S$5:$S185)+1,"")</f>
        <v/>
      </c>
      <c r="T186" s="196">
        <f>IF($C186="","",IF(COUNTIF($C$6:$C186,$C186)&gt;1,"Doublon possible",""))</f>
        <v/>
      </c>
      <c r="U186" s="163">
        <f>IF($G186="Entretien",COUNTIF($G$6:$G186,"Entretien"),"")</f>
        <v/>
      </c>
      <c r="W186" s="226">
        <f>IF($E186="","",IF(COUNTIF($E$6:$E186,$E186)=1,MAX($W$5:W185)+1,""))</f>
        <v/>
      </c>
    </row>
    <row r="187" ht="15" customHeight="1" s="164">
      <c r="C187" s="234" t="n"/>
      <c r="D187" s="234" t="n"/>
      <c r="E187" s="234" t="n"/>
      <c r="L187" s="234" t="n"/>
      <c r="N187" s="196">
        <f>IF($F187="","",TODAY()-$F187)</f>
        <v/>
      </c>
      <c r="O187" s="196">
        <f>IF($F187="","",IF($G187="Entretien","Suivre de près",IF($G187="Offre","Clôturé - Offre",IF($G187="Refusé","Clôturé",IF(AND($G187="Candidature envoyée",(TODAY()-$F187)&gt;14),"A relancer","En cours")))))</f>
        <v/>
      </c>
      <c r="P187" s="163">
        <f>IF($O187="A relancer",COUNTIF($O$6:$O187,"A relancer"),"")</f>
        <v/>
      </c>
      <c r="Q187" s="196">
        <f>IF($F187="","",WEEKNUM($F187,2))</f>
        <v/>
      </c>
      <c r="R187" s="196">
        <f>IF($F187="","",IF($G187="Offre",100,IF($G187="Entretien",90,IF($G187="Refusé",0,MIN(70,20+($N187*2)+IF($I187&lt;&gt;"",10,0)+IF($J187&lt;&gt;"",5,0))))))</f>
        <v/>
      </c>
      <c r="S187" s="169">
        <f>IF($I187&lt;&gt;"",MAX($S$5:$S186)+1,"")</f>
        <v/>
      </c>
      <c r="T187" s="196">
        <f>IF($C187="","",IF(COUNTIF($C$6:$C187,$C187)&gt;1,"Doublon possible",""))</f>
        <v/>
      </c>
      <c r="U187" s="163">
        <f>IF($G187="Entretien",COUNTIF($G$6:$G187,"Entretien"),"")</f>
        <v/>
      </c>
      <c r="W187" s="226">
        <f>IF($E187="","",IF(COUNTIF($E$6:$E187,$E187)=1,MAX($W$5:W186)+1,""))</f>
        <v/>
      </c>
    </row>
    <row r="188" ht="15" customHeight="1" s="164">
      <c r="C188" s="234" t="n"/>
      <c r="D188" s="234" t="n"/>
      <c r="E188" s="234" t="n"/>
      <c r="L188" s="234" t="n"/>
      <c r="N188" s="196">
        <f>IF($F188="","",TODAY()-$F188)</f>
        <v/>
      </c>
      <c r="O188" s="196">
        <f>IF($F188="","",IF($G188="Entretien","Suivre de près",IF($G188="Offre","Clôturé - Offre",IF($G188="Refusé","Clôturé",IF(AND($G188="Candidature envoyée",(TODAY()-$F188)&gt;14),"A relancer","En cours")))))</f>
        <v/>
      </c>
      <c r="P188" s="163">
        <f>IF($O188="A relancer",COUNTIF($O$6:$O188,"A relancer"),"")</f>
        <v/>
      </c>
      <c r="Q188" s="196">
        <f>IF($F188="","",WEEKNUM($F188,2))</f>
        <v/>
      </c>
      <c r="R188" s="196">
        <f>IF($F188="","",IF($G188="Offre",100,IF($G188="Entretien",90,IF($G188="Refusé",0,MIN(70,20+($N188*2)+IF($I188&lt;&gt;"",10,0)+IF($J188&lt;&gt;"",5,0))))))</f>
        <v/>
      </c>
      <c r="S188" s="169">
        <f>IF($I188&lt;&gt;"",MAX($S$5:$S187)+1,"")</f>
        <v/>
      </c>
      <c r="T188" s="196">
        <f>IF($C188="","",IF(COUNTIF($C$6:$C188,$C188)&gt;1,"Doublon possible",""))</f>
        <v/>
      </c>
      <c r="U188" s="163">
        <f>IF($G188="Entretien",COUNTIF($G$6:$G188,"Entretien"),"")</f>
        <v/>
      </c>
      <c r="W188" s="226">
        <f>IF($E188="","",IF(COUNTIF($E$6:$E188,$E188)=1,MAX($W$5:W187)+1,""))</f>
        <v/>
      </c>
    </row>
    <row r="189" ht="15" customHeight="1" s="164">
      <c r="C189" s="234" t="n"/>
      <c r="D189" s="234" t="n"/>
      <c r="E189" s="234" t="n"/>
      <c r="L189" s="234" t="n"/>
      <c r="N189" s="196">
        <f>IF($F189="","",TODAY()-$F189)</f>
        <v/>
      </c>
      <c r="O189" s="196">
        <f>IF($F189="","",IF($G189="Entretien","Suivre de près",IF($G189="Offre","Clôturé - Offre",IF($G189="Refusé","Clôturé",IF(AND($G189="Candidature envoyée",(TODAY()-$F189)&gt;14),"A relancer","En cours")))))</f>
        <v/>
      </c>
      <c r="P189" s="163">
        <f>IF($O189="A relancer",COUNTIF($O$6:$O189,"A relancer"),"")</f>
        <v/>
      </c>
      <c r="Q189" s="196">
        <f>IF($F189="","",WEEKNUM($F189,2))</f>
        <v/>
      </c>
      <c r="R189" s="196">
        <f>IF($F189="","",IF($G189="Offre",100,IF($G189="Entretien",90,IF($G189="Refusé",0,MIN(70,20+($N189*2)+IF($I189&lt;&gt;"",10,0)+IF($J189&lt;&gt;"",5,0))))))</f>
        <v/>
      </c>
      <c r="S189" s="169">
        <f>IF($I189&lt;&gt;"",MAX($S$5:$S188)+1,"")</f>
        <v/>
      </c>
      <c r="T189" s="196">
        <f>IF($C189="","",IF(COUNTIF($C$6:$C189,$C189)&gt;1,"Doublon possible",""))</f>
        <v/>
      </c>
      <c r="U189" s="163">
        <f>IF($G189="Entretien",COUNTIF($G$6:$G189,"Entretien"),"")</f>
        <v/>
      </c>
      <c r="W189" s="226">
        <f>IF($E189="","",IF(COUNTIF($E$6:$E189,$E189)=1,MAX($W$5:W188)+1,""))</f>
        <v/>
      </c>
    </row>
    <row r="190" ht="15" customHeight="1" s="164">
      <c r="C190" s="234" t="n"/>
      <c r="D190" s="234" t="n"/>
      <c r="E190" s="234" t="n"/>
      <c r="L190" s="234" t="n"/>
      <c r="N190" s="196">
        <f>IF($F190="","",TODAY()-$F190)</f>
        <v/>
      </c>
      <c r="O190" s="196">
        <f>IF($F190="","",IF($G190="Entretien","Suivre de près",IF($G190="Offre","Clôturé - Offre",IF($G190="Refusé","Clôturé",IF(AND($G190="Candidature envoyée",(TODAY()-$F190)&gt;14),"A relancer","En cours")))))</f>
        <v/>
      </c>
      <c r="P190" s="163">
        <f>IF($O190="A relancer",COUNTIF($O$6:$O190,"A relancer"),"")</f>
        <v/>
      </c>
      <c r="Q190" s="196">
        <f>IF($F190="","",WEEKNUM($F190,2))</f>
        <v/>
      </c>
      <c r="R190" s="196">
        <f>IF($F190="","",IF($G190="Offre",100,IF($G190="Entretien",90,IF($G190="Refusé",0,MIN(70,20+($N190*2)+IF($I190&lt;&gt;"",10,0)+IF($J190&lt;&gt;"",5,0))))))</f>
        <v/>
      </c>
      <c r="S190" s="169">
        <f>IF($I190&lt;&gt;"",MAX($S$5:$S189)+1,"")</f>
        <v/>
      </c>
      <c r="T190" s="196">
        <f>IF($C190="","",IF(COUNTIF($C$6:$C190,$C190)&gt;1,"Doublon possible",""))</f>
        <v/>
      </c>
      <c r="U190" s="163">
        <f>IF($G190="Entretien",COUNTIF($G$6:$G190,"Entretien"),"")</f>
        <v/>
      </c>
      <c r="W190" s="226">
        <f>IF($E190="","",IF(COUNTIF($E$6:$E190,$E190)=1,MAX($W$5:W189)+1,""))</f>
        <v/>
      </c>
    </row>
    <row r="191" ht="15" customHeight="1" s="164">
      <c r="C191" s="234" t="n"/>
      <c r="D191" s="234" t="n"/>
      <c r="E191" s="234" t="n"/>
      <c r="L191" s="234" t="n"/>
      <c r="N191" s="196">
        <f>IF($F191="","",TODAY()-$F191)</f>
        <v/>
      </c>
      <c r="O191" s="196">
        <f>IF($F191="","",IF($G191="Entretien","Suivre de près",IF($G191="Offre","Clôturé - Offre",IF($G191="Refusé","Clôturé",IF(AND($G191="Candidature envoyée",(TODAY()-$F191)&gt;14),"A relancer","En cours")))))</f>
        <v/>
      </c>
      <c r="P191" s="163">
        <f>IF($O191="A relancer",COUNTIF($O$6:$O191,"A relancer"),"")</f>
        <v/>
      </c>
      <c r="Q191" s="196">
        <f>IF($F191="","",WEEKNUM($F191,2))</f>
        <v/>
      </c>
      <c r="R191" s="196">
        <f>IF($F191="","",IF($G191="Offre",100,IF($G191="Entretien",90,IF($G191="Refusé",0,MIN(70,20+($N191*2)+IF($I191&lt;&gt;"",10,0)+IF($J191&lt;&gt;"",5,0))))))</f>
        <v/>
      </c>
      <c r="S191" s="169">
        <f>IF($I191&lt;&gt;"",MAX($S$5:$S190)+1,"")</f>
        <v/>
      </c>
      <c r="T191" s="196">
        <f>IF($C191="","",IF(COUNTIF($C$6:$C191,$C191)&gt;1,"Doublon possible",""))</f>
        <v/>
      </c>
      <c r="U191" s="163">
        <f>IF($G191="Entretien",COUNTIF($G$6:$G191,"Entretien"),"")</f>
        <v/>
      </c>
      <c r="W191" s="226">
        <f>IF($E191="","",IF(COUNTIF($E$6:$E191,$E191)=1,MAX($W$5:W190)+1,""))</f>
        <v/>
      </c>
    </row>
    <row r="192" ht="15" customHeight="1" s="164">
      <c r="C192" s="234" t="n"/>
      <c r="D192" s="234" t="n"/>
      <c r="E192" s="234" t="n"/>
      <c r="L192" s="234" t="n"/>
      <c r="N192" s="196">
        <f>IF($F192="","",TODAY()-$F192)</f>
        <v/>
      </c>
      <c r="O192" s="196">
        <f>IF($F192="","",IF($G192="Entretien","Suivre de près",IF($G192="Offre","Clôturé - Offre",IF($G192="Refusé","Clôturé",IF(AND($G192="Candidature envoyée",(TODAY()-$F192)&gt;14),"A relancer","En cours")))))</f>
        <v/>
      </c>
      <c r="P192" s="163">
        <f>IF($O192="A relancer",COUNTIF($O$6:$O192,"A relancer"),"")</f>
        <v/>
      </c>
      <c r="Q192" s="196">
        <f>IF($F192="","",WEEKNUM($F192,2))</f>
        <v/>
      </c>
      <c r="R192" s="196">
        <f>IF($F192="","",IF($G192="Offre",100,IF($G192="Entretien",90,IF($G192="Refusé",0,MIN(70,20+($N192*2)+IF($I192&lt;&gt;"",10,0)+IF($J192&lt;&gt;"",5,0))))))</f>
        <v/>
      </c>
      <c r="S192" s="169">
        <f>IF($I192&lt;&gt;"",MAX($S$5:$S191)+1,"")</f>
        <v/>
      </c>
      <c r="T192" s="196">
        <f>IF($C192="","",IF(COUNTIF($C$6:$C192,$C192)&gt;1,"Doublon possible",""))</f>
        <v/>
      </c>
      <c r="U192" s="163">
        <f>IF($G192="Entretien",COUNTIF($G$6:$G192,"Entretien"),"")</f>
        <v/>
      </c>
      <c r="W192" s="226">
        <f>IF($E192="","",IF(COUNTIF($E$6:$E192,$E192)=1,MAX($W$5:W191)+1,""))</f>
        <v/>
      </c>
    </row>
    <row r="193" ht="15" customHeight="1" s="164">
      <c r="C193" s="234" t="n"/>
      <c r="D193" s="234" t="n"/>
      <c r="E193" s="234" t="n"/>
      <c r="L193" s="234" t="n"/>
      <c r="N193" s="196">
        <f>IF($F193="","",TODAY()-$F193)</f>
        <v/>
      </c>
      <c r="O193" s="196">
        <f>IF($F193="","",IF($G193="Entretien","Suivre de près",IF($G193="Offre","Clôturé - Offre",IF($G193="Refusé","Clôturé",IF(AND($G193="Candidature envoyée",(TODAY()-$F193)&gt;14),"A relancer","En cours")))))</f>
        <v/>
      </c>
      <c r="P193" s="163">
        <f>IF($O193="A relancer",COUNTIF($O$6:$O193,"A relancer"),"")</f>
        <v/>
      </c>
      <c r="Q193" s="196">
        <f>IF($F193="","",WEEKNUM($F193,2))</f>
        <v/>
      </c>
      <c r="R193" s="196">
        <f>IF($F193="","",IF($G193="Offre",100,IF($G193="Entretien",90,IF($G193="Refusé",0,MIN(70,20+($N193*2)+IF($I193&lt;&gt;"",10,0)+IF($J193&lt;&gt;"",5,0))))))</f>
        <v/>
      </c>
      <c r="S193" s="169">
        <f>IF($I193&lt;&gt;"",MAX($S$5:$S192)+1,"")</f>
        <v/>
      </c>
      <c r="T193" s="196">
        <f>IF($C193="","",IF(COUNTIF($C$6:$C193,$C193)&gt;1,"Doublon possible",""))</f>
        <v/>
      </c>
      <c r="U193" s="163">
        <f>IF($G193="Entretien",COUNTIF($G$6:$G193,"Entretien"),"")</f>
        <v/>
      </c>
      <c r="W193" s="226">
        <f>IF($E193="","",IF(COUNTIF($E$6:$E193,$E193)=1,MAX($W$5:W192)+1,""))</f>
        <v/>
      </c>
    </row>
    <row r="194" ht="15" customHeight="1" s="164">
      <c r="C194" s="234" t="n"/>
      <c r="D194" s="234" t="n"/>
      <c r="E194" s="234" t="n"/>
      <c r="L194" s="234" t="n"/>
      <c r="N194" s="196">
        <f>IF($F194="","",TODAY()-$F194)</f>
        <v/>
      </c>
      <c r="O194" s="196">
        <f>IF($F194="","",IF($G194="Entretien","Suivre de près",IF($G194="Offre","Clôturé - Offre",IF($G194="Refusé","Clôturé",IF(AND($G194="Candidature envoyée",(TODAY()-$F194)&gt;14),"A relancer","En cours")))))</f>
        <v/>
      </c>
      <c r="P194" s="163">
        <f>IF($O194="A relancer",COUNTIF($O$6:$O194,"A relancer"),"")</f>
        <v/>
      </c>
      <c r="Q194" s="196">
        <f>IF($F194="","",WEEKNUM($F194,2))</f>
        <v/>
      </c>
      <c r="R194" s="196">
        <f>IF($F194="","",IF($G194="Offre",100,IF($G194="Entretien",90,IF($G194="Refusé",0,MIN(70,20+($N194*2)+IF($I194&lt;&gt;"",10,0)+IF($J194&lt;&gt;"",5,0))))))</f>
        <v/>
      </c>
      <c r="S194" s="169">
        <f>IF($I194&lt;&gt;"",MAX($S$5:$S193)+1,"")</f>
        <v/>
      </c>
      <c r="T194" s="196">
        <f>IF($C194="","",IF(COUNTIF($C$6:$C194,$C194)&gt;1,"Doublon possible",""))</f>
        <v/>
      </c>
      <c r="U194" s="163">
        <f>IF($G194="Entretien",COUNTIF($G$6:$G194,"Entretien"),"")</f>
        <v/>
      </c>
      <c r="W194" s="226">
        <f>IF($E194="","",IF(COUNTIF($E$6:$E194,$E194)=1,MAX($W$5:W193)+1,""))</f>
        <v/>
      </c>
    </row>
    <row r="195" ht="15" customHeight="1" s="164">
      <c r="C195" s="234" t="n"/>
      <c r="D195" s="234" t="n"/>
      <c r="E195" s="234" t="n"/>
      <c r="L195" s="234" t="n"/>
      <c r="N195" s="196">
        <f>IF($F195="","",TODAY()-$F195)</f>
        <v/>
      </c>
      <c r="O195" s="196">
        <f>IF($F195="","",IF($G195="Entretien","Suivre de près",IF($G195="Offre","Clôturé - Offre",IF($G195="Refusé","Clôturé",IF(AND($G195="Candidature envoyée",(TODAY()-$F195)&gt;14),"A relancer","En cours")))))</f>
        <v/>
      </c>
      <c r="P195" s="163">
        <f>IF($O195="A relancer",COUNTIF($O$6:$O195,"A relancer"),"")</f>
        <v/>
      </c>
      <c r="Q195" s="196">
        <f>IF($F195="","",WEEKNUM($F195,2))</f>
        <v/>
      </c>
      <c r="R195" s="196">
        <f>IF($F195="","",IF($G195="Offre",100,IF($G195="Entretien",90,IF($G195="Refusé",0,MIN(70,20+($N195*2)+IF($I195&lt;&gt;"",10,0)+IF($J195&lt;&gt;"",5,0))))))</f>
        <v/>
      </c>
      <c r="S195" s="169">
        <f>IF($I195&lt;&gt;"",MAX($S$5:$S194)+1,"")</f>
        <v/>
      </c>
      <c r="T195" s="196">
        <f>IF($C195="","",IF(COUNTIF($C$6:$C195,$C195)&gt;1,"Doublon possible",""))</f>
        <v/>
      </c>
      <c r="U195" s="163">
        <f>IF($G195="Entretien",COUNTIF($G$6:$G195,"Entretien"),"")</f>
        <v/>
      </c>
      <c r="W195" s="226">
        <f>IF($E195="","",IF(COUNTIF($E$6:$E195,$E195)=1,MAX($W$5:W194)+1,""))</f>
        <v/>
      </c>
    </row>
    <row r="196" ht="15" customHeight="1" s="164">
      <c r="C196" s="234" t="n"/>
      <c r="D196" s="234" t="n"/>
      <c r="E196" s="234" t="n"/>
      <c r="L196" s="234" t="n"/>
      <c r="N196" s="196">
        <f>IF($F196="","",TODAY()-$F196)</f>
        <v/>
      </c>
      <c r="O196" s="196">
        <f>IF($F196="","",IF($G196="Entretien","Suivre de près",IF($G196="Offre","Clôturé - Offre",IF($G196="Refusé","Clôturé",IF(AND($G196="Candidature envoyée",(TODAY()-$F196)&gt;14),"A relancer","En cours")))))</f>
        <v/>
      </c>
      <c r="P196" s="163">
        <f>IF($O196="A relancer",COUNTIF($O$6:$O196,"A relancer"),"")</f>
        <v/>
      </c>
      <c r="Q196" s="196">
        <f>IF($F196="","",WEEKNUM($F196,2))</f>
        <v/>
      </c>
      <c r="R196" s="196">
        <f>IF($F196="","",IF($G196="Offre",100,IF($G196="Entretien",90,IF($G196="Refusé",0,MIN(70,20+($N196*2)+IF($I196&lt;&gt;"",10,0)+IF($J196&lt;&gt;"",5,0))))))</f>
        <v/>
      </c>
      <c r="S196" s="169">
        <f>IF($I196&lt;&gt;"",MAX($S$5:$S195)+1,"")</f>
        <v/>
      </c>
      <c r="T196" s="196">
        <f>IF($C196="","",IF(COUNTIF($C$6:$C196,$C196)&gt;1,"Doublon possible",""))</f>
        <v/>
      </c>
      <c r="U196" s="163">
        <f>IF($G196="Entretien",COUNTIF($G$6:$G196,"Entretien"),"")</f>
        <v/>
      </c>
      <c r="W196" s="226">
        <f>IF($E196="","",IF(COUNTIF($E$6:$E196,$E196)=1,MAX($W$5:W195)+1,""))</f>
        <v/>
      </c>
    </row>
    <row r="197" ht="15" customHeight="1" s="164">
      <c r="C197" s="234" t="n"/>
      <c r="D197" s="234" t="n"/>
      <c r="E197" s="234" t="n"/>
      <c r="L197" s="234" t="n"/>
      <c r="N197" s="196">
        <f>IF($F197="","",TODAY()-$F197)</f>
        <v/>
      </c>
      <c r="O197" s="196">
        <f>IF($F197="","",IF($G197="Entretien","Suivre de près",IF($G197="Offre","Clôturé - Offre",IF($G197="Refusé","Clôturé",IF(AND($G197="Candidature envoyée",(TODAY()-$F197)&gt;14),"A relancer","En cours")))))</f>
        <v/>
      </c>
      <c r="P197" s="163">
        <f>IF($O197="A relancer",COUNTIF($O$6:$O197,"A relancer"),"")</f>
        <v/>
      </c>
      <c r="Q197" s="196">
        <f>IF($F197="","",WEEKNUM($F197,2))</f>
        <v/>
      </c>
      <c r="R197" s="196">
        <f>IF($F197="","",IF($G197="Offre",100,IF($G197="Entretien",90,IF($G197="Refusé",0,MIN(70,20+($N197*2)+IF($I197&lt;&gt;"",10,0)+IF($J197&lt;&gt;"",5,0))))))</f>
        <v/>
      </c>
      <c r="S197" s="169">
        <f>IF($I197&lt;&gt;"",MAX($S$5:$S196)+1,"")</f>
        <v/>
      </c>
      <c r="T197" s="196">
        <f>IF($C197="","",IF(COUNTIF($C$6:$C197,$C197)&gt;1,"Doublon possible",""))</f>
        <v/>
      </c>
      <c r="U197" s="163">
        <f>IF($G197="Entretien",COUNTIF($G$6:$G197,"Entretien"),"")</f>
        <v/>
      </c>
      <c r="W197" s="226">
        <f>IF($E197="","",IF(COUNTIF($E$6:$E197,$E197)=1,MAX($W$5:W196)+1,""))</f>
        <v/>
      </c>
    </row>
    <row r="198" ht="15" customHeight="1" s="164">
      <c r="C198" s="234" t="n"/>
      <c r="D198" s="234" t="n"/>
      <c r="E198" s="234" t="n"/>
      <c r="L198" s="234" t="n"/>
      <c r="N198" s="196">
        <f>IF($F198="","",TODAY()-$F198)</f>
        <v/>
      </c>
      <c r="O198" s="196">
        <f>IF($F198="","",IF($G198="Entretien","Suivre de près",IF($G198="Offre","Clôturé - Offre",IF($G198="Refusé","Clôturé",IF(AND($G198="Candidature envoyée",(TODAY()-$F198)&gt;14),"A relancer","En cours")))))</f>
        <v/>
      </c>
      <c r="P198" s="163">
        <f>IF($O198="A relancer",COUNTIF($O$6:$O198,"A relancer"),"")</f>
        <v/>
      </c>
      <c r="Q198" s="196">
        <f>IF($F198="","",WEEKNUM($F198,2))</f>
        <v/>
      </c>
      <c r="R198" s="196">
        <f>IF($F198="","",IF($G198="Offre",100,IF($G198="Entretien",90,IF($G198="Refusé",0,MIN(70,20+($N198*2)+IF($I198&lt;&gt;"",10,0)+IF($J198&lt;&gt;"",5,0))))))</f>
        <v/>
      </c>
      <c r="S198" s="169">
        <f>IF($I198&lt;&gt;"",MAX($S$5:$S197)+1,"")</f>
        <v/>
      </c>
      <c r="T198" s="196">
        <f>IF($C198="","",IF(COUNTIF($C$6:$C198,$C198)&gt;1,"Doublon possible",""))</f>
        <v/>
      </c>
      <c r="U198" s="163">
        <f>IF($G198="Entretien",COUNTIF($G$6:$G198,"Entretien"),"")</f>
        <v/>
      </c>
      <c r="W198" s="226">
        <f>IF($E198="","",IF(COUNTIF($E$6:$E198,$E198)=1,MAX($W$5:W197)+1,""))</f>
        <v/>
      </c>
    </row>
    <row r="199" ht="15" customHeight="1" s="164">
      <c r="C199" s="234" t="n"/>
      <c r="D199" s="234" t="n"/>
      <c r="E199" s="234" t="n"/>
      <c r="L199" s="234" t="n"/>
      <c r="N199" s="196">
        <f>IF($F199="","",TODAY()-$F199)</f>
        <v/>
      </c>
      <c r="O199" s="196">
        <f>IF($F199="","",IF($G199="Entretien","Suivre de près",IF($G199="Offre","Clôturé - Offre",IF($G199="Refusé","Clôturé",IF(AND($G199="Candidature envoyée",(TODAY()-$F199)&gt;14),"A relancer","En cours")))))</f>
        <v/>
      </c>
      <c r="P199" s="163">
        <f>IF($O199="A relancer",COUNTIF($O$6:$O199,"A relancer"),"")</f>
        <v/>
      </c>
      <c r="Q199" s="196">
        <f>IF($F199="","",WEEKNUM($F199,2))</f>
        <v/>
      </c>
      <c r="R199" s="196">
        <f>IF($F199="","",IF($G199="Offre",100,IF($G199="Entretien",90,IF($G199="Refusé",0,MIN(70,20+($N199*2)+IF($I199&lt;&gt;"",10,0)+IF($J199&lt;&gt;"",5,0))))))</f>
        <v/>
      </c>
      <c r="S199" s="169">
        <f>IF($I199&lt;&gt;"",MAX($S$5:$S198)+1,"")</f>
        <v/>
      </c>
      <c r="T199" s="196">
        <f>IF($C199="","",IF(COUNTIF($C$6:$C199,$C199)&gt;1,"Doublon possible",""))</f>
        <v/>
      </c>
      <c r="U199" s="163">
        <f>IF($G199="Entretien",COUNTIF($G$6:$G199,"Entretien"),"")</f>
        <v/>
      </c>
      <c r="W199" s="226">
        <f>IF($E199="","",IF(COUNTIF($E$6:$E199,$E199)=1,MAX($W$5:W198)+1,""))</f>
        <v/>
      </c>
    </row>
    <row r="200" ht="15" customHeight="1" s="164">
      <c r="C200" s="234" t="n"/>
      <c r="D200" s="234" t="n"/>
      <c r="E200" s="234" t="n"/>
      <c r="L200" s="234" t="n"/>
      <c r="N200" s="196">
        <f>IF($F200="","",TODAY()-$F200)</f>
        <v/>
      </c>
      <c r="O200" s="196">
        <f>IF($F200="","",IF($G200="Entretien","Suivre de près",IF($G200="Offre","Clôturé - Offre",IF($G200="Refusé","Clôturé",IF(AND($G200="Candidature envoyée",(TODAY()-$F200)&gt;14),"A relancer","En cours")))))</f>
        <v/>
      </c>
      <c r="P200" s="163">
        <f>IF($O200="A relancer",COUNTIF($O$6:$O200,"A relancer"),"")</f>
        <v/>
      </c>
      <c r="Q200" s="196">
        <f>IF($F200="","",WEEKNUM($F200,2))</f>
        <v/>
      </c>
      <c r="R200" s="196">
        <f>IF($F200="","",IF($G200="Offre",100,IF($G200="Entretien",90,IF($G200="Refusé",0,MIN(70,20+($N200*2)+IF($I200&lt;&gt;"",10,0)+IF($J200&lt;&gt;"",5,0))))))</f>
        <v/>
      </c>
      <c r="S200" s="169">
        <f>IF($I200&lt;&gt;"",MAX($S$5:$S199)+1,"")</f>
        <v/>
      </c>
      <c r="T200" s="196">
        <f>IF($C200="","",IF(COUNTIF($C$6:$C200,$C200)&gt;1,"Doublon possible",""))</f>
        <v/>
      </c>
      <c r="U200" s="163">
        <f>IF($G200="Entretien",COUNTIF($G$6:$G200,"Entretien"),"")</f>
        <v/>
      </c>
      <c r="W200" s="226">
        <f>IF($E200="","",IF(COUNTIF($E$6:$E200,$E200)=1,MAX($W$5:W199)+1,""))</f>
        <v/>
      </c>
    </row>
    <row r="201" ht="15" customHeight="1" s="164">
      <c r="C201" s="234" t="n"/>
      <c r="D201" s="234" t="n"/>
      <c r="E201" s="234" t="n"/>
      <c r="L201" s="234" t="n"/>
    </row>
    <row r="202" ht="15" customHeight="1" s="164">
      <c r="C202" s="234" t="n"/>
      <c r="D202" s="234" t="n"/>
      <c r="E202" s="234" t="n"/>
      <c r="L202" s="234" t="n"/>
    </row>
    <row r="203" ht="15" customHeight="1" s="164">
      <c r="C203" s="234" t="n"/>
      <c r="D203" s="234" t="n"/>
      <c r="E203" s="234" t="n"/>
      <c r="L203" s="234" t="n"/>
    </row>
    <row r="204" ht="15" customHeight="1" s="164">
      <c r="C204" s="234" t="n"/>
      <c r="D204" s="234" t="n"/>
      <c r="E204" s="234" t="n"/>
      <c r="L204" s="234" t="n"/>
    </row>
    <row r="205" ht="15" customHeight="1" s="164">
      <c r="C205" s="234" t="n"/>
      <c r="D205" s="234" t="n"/>
      <c r="E205" s="234" t="n"/>
      <c r="L205" s="234" t="n"/>
    </row>
    <row r="206" ht="15" customHeight="1" s="164">
      <c r="C206" s="234" t="n"/>
      <c r="D206" s="234" t="n"/>
      <c r="E206" s="234" t="n"/>
      <c r="L206" s="234" t="n"/>
    </row>
    <row r="207" ht="15" customHeight="1" s="164">
      <c r="C207" s="234" t="n"/>
      <c r="D207" s="234" t="n"/>
      <c r="E207" s="234" t="n"/>
      <c r="L207" s="234" t="n"/>
    </row>
    <row r="208" ht="15" customHeight="1" s="164">
      <c r="C208" s="234" t="n"/>
      <c r="D208" s="234" t="n"/>
      <c r="E208" s="234" t="n"/>
      <c r="L208" s="234" t="n"/>
    </row>
    <row r="209" ht="15" customHeight="1" s="164">
      <c r="C209" s="234" t="n"/>
      <c r="D209" s="234" t="n"/>
      <c r="E209" s="234" t="n"/>
      <c r="L209" s="234" t="n"/>
    </row>
    <row r="210" ht="15" customHeight="1" s="164">
      <c r="C210" s="234" t="n"/>
      <c r="D210" s="234" t="n"/>
      <c r="E210" s="234" t="n"/>
      <c r="L210" s="234" t="n"/>
    </row>
    <row r="211" ht="15" customHeight="1" s="164">
      <c r="C211" s="234" t="n"/>
      <c r="D211" s="234" t="n"/>
      <c r="E211" s="234" t="n"/>
      <c r="L211" s="234" t="n"/>
    </row>
    <row r="212" ht="15" customHeight="1" s="164">
      <c r="C212" s="234" t="n"/>
      <c r="D212" s="234" t="n"/>
      <c r="E212" s="234" t="n"/>
      <c r="L212" s="234" t="n"/>
    </row>
    <row r="213" ht="15" customHeight="1" s="164">
      <c r="C213" s="234" t="n"/>
      <c r="D213" s="234" t="n"/>
      <c r="E213" s="234" t="n"/>
      <c r="L213" s="234" t="n"/>
    </row>
    <row r="214" ht="15" customHeight="1" s="164">
      <c r="C214" s="234" t="n"/>
      <c r="D214" s="234" t="n"/>
      <c r="E214" s="234" t="n"/>
      <c r="L214" s="234" t="n"/>
    </row>
    <row r="215" ht="15" customHeight="1" s="164">
      <c r="C215" s="234" t="n"/>
      <c r="D215" s="234" t="n"/>
      <c r="E215" s="234" t="n"/>
      <c r="L215" s="234" t="n"/>
    </row>
    <row r="216" ht="15" customHeight="1" s="164">
      <c r="C216" s="234" t="n"/>
      <c r="D216" s="234" t="n"/>
      <c r="E216" s="234" t="n"/>
      <c r="L216" s="234" t="n"/>
    </row>
    <row r="217" ht="15" customHeight="1" s="164">
      <c r="C217" s="234" t="n"/>
      <c r="D217" s="234" t="n"/>
      <c r="E217" s="234" t="n"/>
      <c r="L217" s="234" t="n"/>
    </row>
    <row r="218" ht="15" customHeight="1" s="164">
      <c r="C218" s="234" t="n"/>
      <c r="D218" s="234" t="n"/>
      <c r="E218" s="234" t="n"/>
      <c r="L218" s="234" t="n"/>
    </row>
    <row r="219" ht="15" customHeight="1" s="164">
      <c r="C219" s="234" t="n"/>
      <c r="D219" s="234" t="n"/>
      <c r="E219" s="234" t="n"/>
      <c r="L219" s="234" t="n"/>
    </row>
    <row r="220" ht="15" customHeight="1" s="164">
      <c r="C220" s="234" t="n"/>
      <c r="D220" s="234" t="n"/>
      <c r="E220" s="234" t="n"/>
      <c r="L220" s="234" t="n"/>
    </row>
    <row r="221" ht="15" customHeight="1" s="164">
      <c r="C221" s="234" t="n"/>
      <c r="D221" s="234" t="n"/>
      <c r="E221" s="234" t="n"/>
      <c r="L221" s="234" t="n"/>
    </row>
    <row r="222" ht="15" customHeight="1" s="164">
      <c r="C222" s="234" t="n"/>
      <c r="D222" s="234" t="n"/>
      <c r="E222" s="234" t="n"/>
      <c r="L222" s="234" t="n"/>
    </row>
    <row r="223" ht="15" customHeight="1" s="164">
      <c r="C223" s="234" t="n"/>
      <c r="D223" s="234" t="n"/>
      <c r="E223" s="234" t="n"/>
      <c r="L223" s="234" t="n"/>
    </row>
    <row r="224" ht="15" customHeight="1" s="164">
      <c r="C224" s="234" t="n"/>
      <c r="D224" s="234" t="n"/>
      <c r="E224" s="234" t="n"/>
      <c r="L224" s="234" t="n"/>
    </row>
    <row r="225" ht="15" customHeight="1" s="164">
      <c r="C225" s="234" t="n"/>
      <c r="D225" s="234" t="n"/>
      <c r="E225" s="234" t="n"/>
      <c r="L225" s="234" t="n"/>
    </row>
    <row r="226" ht="15" customHeight="1" s="164">
      <c r="C226" s="234" t="n"/>
      <c r="D226" s="234" t="n"/>
      <c r="E226" s="234" t="n"/>
      <c r="L226" s="234" t="n"/>
    </row>
    <row r="227" ht="15" customHeight="1" s="164">
      <c r="C227" s="234" t="n"/>
      <c r="D227" s="234" t="n"/>
      <c r="E227" s="234" t="n"/>
      <c r="L227" s="234" t="n"/>
    </row>
    <row r="228" ht="15" customHeight="1" s="164">
      <c r="C228" s="234" t="n"/>
      <c r="D228" s="234" t="n"/>
      <c r="E228" s="234" t="n"/>
      <c r="L228" s="234" t="n"/>
    </row>
    <row r="229" ht="15" customHeight="1" s="164">
      <c r="C229" s="234" t="n"/>
      <c r="D229" s="234" t="n"/>
      <c r="E229" s="234" t="n"/>
      <c r="L229" s="234" t="n"/>
    </row>
    <row r="230" ht="15" customHeight="1" s="164">
      <c r="C230" s="234" t="n"/>
      <c r="D230" s="234" t="n"/>
      <c r="E230" s="234" t="n"/>
      <c r="L230" s="234" t="n"/>
    </row>
    <row r="231" ht="15" customHeight="1" s="164">
      <c r="C231" s="234" t="n"/>
      <c r="D231" s="234" t="n"/>
      <c r="E231" s="234" t="n"/>
      <c r="L231" s="234" t="n"/>
    </row>
    <row r="232" ht="15" customHeight="1" s="164">
      <c r="C232" s="234" t="n"/>
      <c r="D232" s="234" t="n"/>
      <c r="E232" s="234" t="n"/>
      <c r="L232" s="234" t="n"/>
    </row>
    <row r="233" ht="15" customHeight="1" s="164">
      <c r="C233" s="234" t="n"/>
      <c r="D233" s="234" t="n"/>
      <c r="E233" s="234" t="n"/>
      <c r="L233" s="234" t="n"/>
    </row>
    <row r="234" ht="15" customHeight="1" s="164">
      <c r="C234" s="234" t="n"/>
      <c r="D234" s="234" t="n"/>
      <c r="E234" s="234" t="n"/>
      <c r="L234" s="234" t="n"/>
    </row>
    <row r="235" ht="15" customHeight="1" s="164">
      <c r="C235" s="234" t="n"/>
      <c r="D235" s="234" t="n"/>
      <c r="E235" s="234" t="n"/>
      <c r="L235" s="234" t="n"/>
    </row>
    <row r="236" ht="15" customHeight="1" s="164">
      <c r="C236" s="234" t="n"/>
      <c r="D236" s="234" t="n"/>
      <c r="E236" s="234" t="n"/>
      <c r="L236" s="234" t="n"/>
    </row>
    <row r="237" ht="15" customHeight="1" s="164">
      <c r="C237" s="234" t="n"/>
      <c r="D237" s="234" t="n"/>
      <c r="E237" s="234" t="n"/>
      <c r="L237" s="234" t="n"/>
    </row>
    <row r="238" ht="15" customHeight="1" s="164">
      <c r="C238" s="234" t="n"/>
      <c r="D238" s="234" t="n"/>
      <c r="E238" s="234" t="n"/>
      <c r="L238" s="234" t="n"/>
    </row>
    <row r="239" ht="15" customHeight="1" s="164">
      <c r="C239" s="234" t="n"/>
      <c r="D239" s="234" t="n"/>
      <c r="E239" s="234" t="n"/>
      <c r="L239" s="234" t="n"/>
    </row>
    <row r="240" ht="15" customHeight="1" s="164">
      <c r="C240" s="234" t="n"/>
      <c r="D240" s="234" t="n"/>
      <c r="E240" s="234" t="n"/>
      <c r="L240" s="234" t="n"/>
    </row>
    <row r="241" ht="15" customHeight="1" s="164">
      <c r="C241" s="234" t="n"/>
      <c r="D241" s="234" t="n"/>
      <c r="E241" s="234" t="n"/>
      <c r="L241" s="234" t="n"/>
    </row>
    <row r="242" ht="15" customHeight="1" s="164">
      <c r="C242" s="234" t="n"/>
      <c r="D242" s="234" t="n"/>
      <c r="E242" s="234" t="n"/>
      <c r="L242" s="234" t="n"/>
    </row>
    <row r="243" ht="15" customHeight="1" s="164">
      <c r="C243" s="234" t="n"/>
      <c r="D243" s="234" t="n"/>
      <c r="E243" s="234" t="n"/>
      <c r="L243" s="234" t="n"/>
    </row>
    <row r="244" ht="15" customHeight="1" s="164">
      <c r="C244" s="234" t="n"/>
      <c r="D244" s="234" t="n"/>
      <c r="E244" s="234" t="n"/>
      <c r="L244" s="234" t="n"/>
    </row>
    <row r="245" ht="15" customHeight="1" s="164">
      <c r="C245" s="234" t="n"/>
      <c r="D245" s="234" t="n"/>
      <c r="E245" s="234" t="n"/>
      <c r="L245" s="234" t="n"/>
    </row>
    <row r="246" ht="15" customHeight="1" s="164">
      <c r="C246" s="234" t="n"/>
      <c r="D246" s="234" t="n"/>
      <c r="E246" s="234" t="n"/>
      <c r="L246" s="234" t="n"/>
    </row>
    <row r="247" ht="15" customHeight="1" s="164">
      <c r="C247" s="234" t="n"/>
      <c r="D247" s="234" t="n"/>
      <c r="E247" s="234" t="n"/>
      <c r="L247" s="234" t="n"/>
    </row>
    <row r="248" ht="15" customHeight="1" s="164">
      <c r="C248" s="234" t="n"/>
      <c r="D248" s="234" t="n"/>
      <c r="E248" s="234" t="n"/>
      <c r="L248" s="234" t="n"/>
    </row>
    <row r="249" ht="15" customHeight="1" s="164">
      <c r="C249" s="234" t="n"/>
      <c r="D249" s="234" t="n"/>
      <c r="E249" s="234" t="n"/>
      <c r="L249" s="234" t="n"/>
    </row>
    <row r="250" ht="15" customHeight="1" s="164">
      <c r="C250" s="234" t="n"/>
      <c r="D250" s="234" t="n"/>
      <c r="E250" s="234" t="n"/>
      <c r="L250" s="234" t="n"/>
    </row>
    <row r="251" ht="15" customHeight="1" s="164">
      <c r="C251" s="234" t="n"/>
      <c r="D251" s="234" t="n"/>
      <c r="E251" s="234" t="n"/>
      <c r="L251" s="234" t="n"/>
    </row>
    <row r="252" ht="15" customHeight="1" s="164">
      <c r="C252" s="234" t="n"/>
      <c r="D252" s="234" t="n"/>
      <c r="E252" s="234" t="n"/>
      <c r="L252" s="234" t="n"/>
    </row>
    <row r="253" ht="15" customHeight="1" s="164">
      <c r="C253" s="234" t="n"/>
      <c r="D253" s="234" t="n"/>
      <c r="E253" s="234" t="n"/>
      <c r="L253" s="234" t="n"/>
    </row>
    <row r="254" ht="15" customHeight="1" s="164">
      <c r="C254" s="234" t="n"/>
      <c r="D254" s="234" t="n"/>
      <c r="E254" s="234" t="n"/>
      <c r="L254" s="234" t="n"/>
    </row>
    <row r="255" ht="15" customHeight="1" s="164">
      <c r="C255" s="234" t="n"/>
      <c r="D255" s="234" t="n"/>
      <c r="E255" s="234" t="n"/>
      <c r="L255" s="234" t="n"/>
    </row>
    <row r="256" ht="15" customHeight="1" s="164">
      <c r="C256" s="234" t="n"/>
      <c r="D256" s="234" t="n"/>
      <c r="E256" s="234" t="n"/>
      <c r="L256" s="234" t="n"/>
    </row>
    <row r="257" ht="15" customHeight="1" s="164">
      <c r="C257" s="234" t="n"/>
      <c r="D257" s="234" t="n"/>
      <c r="E257" s="234" t="n"/>
      <c r="L257" s="234" t="n"/>
    </row>
    <row r="258" ht="15" customHeight="1" s="164">
      <c r="C258" s="234" t="n"/>
      <c r="D258" s="234" t="n"/>
      <c r="E258" s="234" t="n"/>
      <c r="L258" s="234" t="n"/>
    </row>
    <row r="259" ht="15" customHeight="1" s="164">
      <c r="C259" s="234" t="n"/>
      <c r="D259" s="234" t="n"/>
      <c r="E259" s="234" t="n"/>
      <c r="L259" s="234" t="n"/>
    </row>
    <row r="260" ht="15" customHeight="1" s="164">
      <c r="C260" s="234" t="n"/>
      <c r="D260" s="234" t="n"/>
      <c r="E260" s="234" t="n"/>
      <c r="L260" s="234" t="n"/>
    </row>
    <row r="261" ht="15" customHeight="1" s="164">
      <c r="C261" s="234" t="n"/>
      <c r="D261" s="234" t="n"/>
      <c r="E261" s="234" t="n"/>
      <c r="L261" s="234" t="n"/>
    </row>
    <row r="262" ht="15" customHeight="1" s="164">
      <c r="C262" s="234" t="n"/>
      <c r="D262" s="234" t="n"/>
      <c r="E262" s="234" t="n"/>
      <c r="L262" s="234" t="n"/>
    </row>
    <row r="263" ht="15" customHeight="1" s="164">
      <c r="C263" s="234" t="n"/>
      <c r="D263" s="234" t="n"/>
      <c r="E263" s="234" t="n"/>
      <c r="L263" s="234" t="n"/>
    </row>
    <row r="264" ht="15" customHeight="1" s="164">
      <c r="C264" s="234" t="n"/>
      <c r="D264" s="234" t="n"/>
      <c r="E264" s="234" t="n"/>
      <c r="L264" s="234" t="n"/>
    </row>
    <row r="265" ht="15" customHeight="1" s="164">
      <c r="C265" s="234" t="n"/>
      <c r="D265" s="234" t="n"/>
      <c r="E265" s="234" t="n"/>
      <c r="L265" s="234" t="n"/>
    </row>
    <row r="266" ht="15" customHeight="1" s="164">
      <c r="C266" s="234" t="n"/>
      <c r="D266" s="234" t="n"/>
      <c r="E266" s="234" t="n"/>
      <c r="L266" s="234" t="n"/>
    </row>
    <row r="267" ht="15" customHeight="1" s="164">
      <c r="C267" s="234" t="n"/>
      <c r="D267" s="234" t="n"/>
      <c r="E267" s="234" t="n"/>
      <c r="L267" s="234" t="n"/>
    </row>
    <row r="268" ht="15" customHeight="1" s="164">
      <c r="C268" s="234" t="n"/>
      <c r="D268" s="234" t="n"/>
      <c r="E268" s="234" t="n"/>
      <c r="L268" s="234" t="n"/>
    </row>
    <row r="269" ht="15" customHeight="1" s="164">
      <c r="C269" s="234" t="n"/>
      <c r="D269" s="234" t="n"/>
      <c r="E269" s="234" t="n"/>
      <c r="L269" s="234" t="n"/>
    </row>
    <row r="270" ht="15" customHeight="1" s="164">
      <c r="C270" s="234" t="n"/>
      <c r="D270" s="234" t="n"/>
      <c r="E270" s="234" t="n"/>
      <c r="L270" s="234" t="n"/>
    </row>
    <row r="271" ht="15" customHeight="1" s="164">
      <c r="C271" s="234" t="n"/>
      <c r="D271" s="234" t="n"/>
      <c r="E271" s="234" t="n"/>
      <c r="L271" s="234" t="n"/>
    </row>
    <row r="272" ht="15" customHeight="1" s="164">
      <c r="C272" s="234" t="n"/>
      <c r="D272" s="234" t="n"/>
      <c r="E272" s="234" t="n"/>
      <c r="L272" s="234" t="n"/>
    </row>
    <row r="273" ht="15" customHeight="1" s="164">
      <c r="C273" s="234" t="n"/>
      <c r="D273" s="234" t="n"/>
      <c r="E273" s="234" t="n"/>
      <c r="L273" s="234" t="n"/>
    </row>
    <row r="274" ht="15" customHeight="1" s="164">
      <c r="C274" s="234" t="n"/>
      <c r="D274" s="234" t="n"/>
      <c r="E274" s="234" t="n"/>
      <c r="L274" s="234" t="n"/>
    </row>
    <row r="275" ht="15" customHeight="1" s="164">
      <c r="C275" s="234" t="n"/>
      <c r="D275" s="234" t="n"/>
      <c r="E275" s="234" t="n"/>
      <c r="L275" s="234" t="n"/>
    </row>
    <row r="276" ht="15" customHeight="1" s="164">
      <c r="C276" s="234" t="n"/>
      <c r="D276" s="234" t="n"/>
      <c r="E276" s="234" t="n"/>
      <c r="L276" s="234" t="n"/>
    </row>
    <row r="277" ht="15" customHeight="1" s="164">
      <c r="C277" s="234" t="n"/>
      <c r="D277" s="234" t="n"/>
      <c r="E277" s="234" t="n"/>
      <c r="L277" s="234" t="n"/>
    </row>
    <row r="278" ht="15" customHeight="1" s="164">
      <c r="C278" s="234" t="n"/>
      <c r="D278" s="234" t="n"/>
      <c r="E278" s="234" t="n"/>
      <c r="L278" s="234" t="n"/>
    </row>
    <row r="279" ht="15" customHeight="1" s="164">
      <c r="C279" s="234" t="n"/>
      <c r="D279" s="234" t="n"/>
      <c r="E279" s="234" t="n"/>
      <c r="L279" s="234" t="n"/>
    </row>
    <row r="280" ht="15" customHeight="1" s="164">
      <c r="C280" s="234" t="n"/>
      <c r="D280" s="234" t="n"/>
      <c r="E280" s="234" t="n"/>
      <c r="L280" s="234" t="n"/>
    </row>
    <row r="281" ht="15" customHeight="1" s="164">
      <c r="C281" s="234" t="n"/>
      <c r="D281" s="234" t="n"/>
      <c r="E281" s="234" t="n"/>
      <c r="L281" s="234" t="n"/>
    </row>
    <row r="282" ht="15" customHeight="1" s="164">
      <c r="C282" s="234" t="n"/>
      <c r="D282" s="234" t="n"/>
      <c r="E282" s="234" t="n"/>
      <c r="L282" s="234" t="n"/>
    </row>
    <row r="283" ht="15" customHeight="1" s="164">
      <c r="C283" s="234" t="n"/>
      <c r="D283" s="234" t="n"/>
      <c r="E283" s="234" t="n"/>
      <c r="L283" s="234" t="n"/>
    </row>
    <row r="284" ht="15" customHeight="1" s="164">
      <c r="C284" s="234" t="n"/>
      <c r="D284" s="234" t="n"/>
      <c r="E284" s="234" t="n"/>
      <c r="L284" s="234" t="n"/>
    </row>
    <row r="285" ht="15" customHeight="1" s="164">
      <c r="C285" s="234" t="n"/>
      <c r="D285" s="234" t="n"/>
      <c r="E285" s="234" t="n"/>
      <c r="L285" s="234" t="n"/>
    </row>
    <row r="286" ht="15" customHeight="1" s="164">
      <c r="C286" s="234" t="n"/>
      <c r="D286" s="234" t="n"/>
      <c r="E286" s="234" t="n"/>
      <c r="L286" s="234" t="n"/>
    </row>
    <row r="287" ht="15" customHeight="1" s="164">
      <c r="C287" s="234" t="n"/>
      <c r="D287" s="234" t="n"/>
      <c r="E287" s="234" t="n"/>
      <c r="L287" s="234" t="n"/>
    </row>
    <row r="288" ht="15" customHeight="1" s="164">
      <c r="C288" s="234" t="n"/>
      <c r="D288" s="234" t="n"/>
      <c r="E288" s="234" t="n"/>
      <c r="L288" s="234" t="n"/>
    </row>
    <row r="289" ht="15" customHeight="1" s="164">
      <c r="C289" s="234" t="n"/>
      <c r="D289" s="234" t="n"/>
      <c r="E289" s="234" t="n"/>
      <c r="L289" s="234" t="n"/>
    </row>
    <row r="290" ht="15" customHeight="1" s="164">
      <c r="C290" s="234" t="n"/>
      <c r="D290" s="234" t="n"/>
      <c r="E290" s="234" t="n"/>
      <c r="L290" s="234" t="n"/>
    </row>
    <row r="291" ht="15" customHeight="1" s="164">
      <c r="C291" s="234" t="n"/>
      <c r="D291" s="234" t="n"/>
      <c r="E291" s="234" t="n"/>
      <c r="L291" s="234" t="n"/>
    </row>
    <row r="292" ht="15" customHeight="1" s="164">
      <c r="C292" s="234" t="n"/>
      <c r="D292" s="234" t="n"/>
      <c r="E292" s="234" t="n"/>
      <c r="L292" s="234" t="n"/>
    </row>
    <row r="293" ht="15" customHeight="1" s="164">
      <c r="C293" s="234" t="n"/>
      <c r="D293" s="234" t="n"/>
      <c r="E293" s="234" t="n"/>
      <c r="L293" s="234" t="n"/>
    </row>
    <row r="294" ht="15" customHeight="1" s="164">
      <c r="C294" s="234" t="n"/>
      <c r="D294" s="234" t="n"/>
      <c r="E294" s="234" t="n"/>
      <c r="L294" s="234" t="n"/>
    </row>
    <row r="295" ht="15" customHeight="1" s="164">
      <c r="C295" s="234" t="n"/>
      <c r="D295" s="234" t="n"/>
      <c r="E295" s="234" t="n"/>
      <c r="L295" s="234" t="n"/>
    </row>
    <row r="296" ht="15" customHeight="1" s="164">
      <c r="C296" s="234" t="n"/>
      <c r="D296" s="234" t="n"/>
      <c r="E296" s="234" t="n"/>
      <c r="L296" s="234" t="n"/>
    </row>
    <row r="297" ht="15" customHeight="1" s="164">
      <c r="C297" s="234" t="n"/>
      <c r="D297" s="234" t="n"/>
      <c r="E297" s="234" t="n"/>
      <c r="L297" s="234" t="n"/>
    </row>
    <row r="298" ht="15" customHeight="1" s="164">
      <c r="C298" s="234" t="n"/>
      <c r="D298" s="234" t="n"/>
      <c r="E298" s="234" t="n"/>
      <c r="L298" s="234" t="n"/>
    </row>
    <row r="299" ht="15" customHeight="1" s="164">
      <c r="C299" s="234" t="n"/>
      <c r="D299" s="234" t="n"/>
      <c r="E299" s="234" t="n"/>
      <c r="L299" s="234" t="n"/>
    </row>
    <row r="300" ht="15" customHeight="1" s="164">
      <c r="C300" s="234" t="n"/>
      <c r="D300" s="234" t="n"/>
      <c r="E300" s="234" t="n"/>
      <c r="L300" s="234" t="n"/>
    </row>
    <row r="301" ht="15" customHeight="1" s="164">
      <c r="C301" s="234" t="n"/>
      <c r="D301" s="234" t="n"/>
      <c r="E301" s="234" t="n"/>
      <c r="L301" s="234" t="n"/>
    </row>
    <row r="302" ht="15" customHeight="1" s="164">
      <c r="C302" s="234" t="n"/>
      <c r="D302" s="234" t="n"/>
      <c r="E302" s="234" t="n"/>
      <c r="L302" s="234" t="n"/>
    </row>
    <row r="303" ht="15" customHeight="1" s="164">
      <c r="C303" s="234" t="n"/>
      <c r="D303" s="234" t="n"/>
      <c r="E303" s="234" t="n"/>
      <c r="L303" s="234" t="n"/>
    </row>
    <row r="304" ht="15" customHeight="1" s="164">
      <c r="C304" s="234" t="n"/>
      <c r="D304" s="234" t="n"/>
      <c r="E304" s="234" t="n"/>
      <c r="L304" s="234" t="n"/>
    </row>
    <row r="305" ht="15" customHeight="1" s="164">
      <c r="C305" s="234" t="n"/>
      <c r="D305" s="234" t="n"/>
      <c r="E305" s="234" t="n"/>
      <c r="L305" s="234" t="n"/>
    </row>
    <row r="306" ht="15" customHeight="1" s="164">
      <c r="C306" s="234" t="n"/>
      <c r="D306" s="234" t="n"/>
      <c r="E306" s="234" t="n"/>
      <c r="L306" s="234" t="n"/>
    </row>
    <row r="307" ht="15" customHeight="1" s="164">
      <c r="C307" s="234" t="n"/>
      <c r="D307" s="234" t="n"/>
      <c r="E307" s="234" t="n"/>
      <c r="L307" s="234" t="n"/>
    </row>
    <row r="308" ht="15" customHeight="1" s="164">
      <c r="C308" s="234" t="n"/>
      <c r="D308" s="234" t="n"/>
      <c r="E308" s="234" t="n"/>
      <c r="L308" s="234" t="n"/>
    </row>
    <row r="309" ht="15" customHeight="1" s="164">
      <c r="C309" s="234" t="n"/>
      <c r="D309" s="234" t="n"/>
      <c r="E309" s="234" t="n"/>
      <c r="L309" s="234" t="n"/>
    </row>
    <row r="310" ht="15" customHeight="1" s="164">
      <c r="C310" s="234" t="n"/>
      <c r="D310" s="234" t="n"/>
      <c r="E310" s="234" t="n"/>
      <c r="L310" s="234" t="n"/>
    </row>
    <row r="311" ht="15" customHeight="1" s="164">
      <c r="C311" s="234" t="n"/>
      <c r="D311" s="234" t="n"/>
      <c r="E311" s="234" t="n"/>
      <c r="L311" s="234" t="n"/>
    </row>
    <row r="312" ht="15" customHeight="1" s="164">
      <c r="C312" s="234" t="n"/>
      <c r="D312" s="234" t="n"/>
      <c r="E312" s="234" t="n"/>
      <c r="L312" s="234" t="n"/>
    </row>
    <row r="313" ht="15" customHeight="1" s="164">
      <c r="C313" s="234" t="n"/>
      <c r="D313" s="234" t="n"/>
      <c r="E313" s="234" t="n"/>
      <c r="L313" s="234" t="n"/>
    </row>
    <row r="314" ht="15" customHeight="1" s="164">
      <c r="C314" s="234" t="n"/>
      <c r="D314" s="234" t="n"/>
      <c r="E314" s="234" t="n"/>
      <c r="L314" s="234" t="n"/>
    </row>
    <row r="315" ht="15" customHeight="1" s="164">
      <c r="C315" s="234" t="n"/>
      <c r="D315" s="234" t="n"/>
      <c r="E315" s="234" t="n"/>
      <c r="L315" s="234" t="n"/>
    </row>
    <row r="316" ht="15" customHeight="1" s="164">
      <c r="C316" s="234" t="n"/>
      <c r="D316" s="234" t="n"/>
      <c r="E316" s="234" t="n"/>
      <c r="L316" s="234" t="n"/>
    </row>
    <row r="317" ht="15" customHeight="1" s="164">
      <c r="C317" s="234" t="n"/>
      <c r="D317" s="234" t="n"/>
      <c r="E317" s="234" t="n"/>
      <c r="L317" s="234" t="n"/>
    </row>
    <row r="318" ht="15" customHeight="1" s="164">
      <c r="C318" s="234" t="n"/>
      <c r="D318" s="234" t="n"/>
      <c r="E318" s="234" t="n"/>
      <c r="L318" s="234" t="n"/>
    </row>
    <row r="319" ht="15" customHeight="1" s="164">
      <c r="C319" s="234" t="n"/>
      <c r="D319" s="234" t="n"/>
      <c r="E319" s="234" t="n"/>
      <c r="L319" s="234" t="n"/>
    </row>
    <row r="320" ht="15" customHeight="1" s="164">
      <c r="C320" s="234" t="n"/>
      <c r="D320" s="234" t="n"/>
      <c r="E320" s="234" t="n"/>
      <c r="L320" s="234" t="n"/>
    </row>
    <row r="321" ht="15" customHeight="1" s="164">
      <c r="C321" s="234" t="n"/>
      <c r="D321" s="234" t="n"/>
      <c r="E321" s="234" t="n"/>
      <c r="L321" s="234" t="n"/>
    </row>
    <row r="322" ht="15" customHeight="1" s="164">
      <c r="C322" s="234" t="n"/>
      <c r="D322" s="234" t="n"/>
      <c r="E322" s="234" t="n"/>
      <c r="L322" s="234" t="n"/>
    </row>
    <row r="323" ht="15" customHeight="1" s="164">
      <c r="C323" s="234" t="n"/>
      <c r="D323" s="234" t="n"/>
      <c r="E323" s="234" t="n"/>
      <c r="L323" s="234" t="n"/>
    </row>
    <row r="324" ht="15" customHeight="1" s="164">
      <c r="C324" s="234" t="n"/>
      <c r="D324" s="234" t="n"/>
      <c r="E324" s="234" t="n"/>
      <c r="L324" s="234" t="n"/>
    </row>
    <row r="325" ht="15" customHeight="1" s="164">
      <c r="C325" s="234" t="n"/>
      <c r="D325" s="234" t="n"/>
      <c r="E325" s="234" t="n"/>
      <c r="L325" s="234" t="n"/>
    </row>
    <row r="326" ht="15" customHeight="1" s="164">
      <c r="C326" s="234" t="n"/>
      <c r="D326" s="234" t="n"/>
      <c r="E326" s="234" t="n"/>
      <c r="L326" s="234" t="n"/>
    </row>
    <row r="327" ht="15" customHeight="1" s="164">
      <c r="C327" s="234" t="n"/>
      <c r="D327" s="234" t="n"/>
      <c r="E327" s="234" t="n"/>
      <c r="L327" s="234" t="n"/>
    </row>
    <row r="328" ht="15" customHeight="1" s="164">
      <c r="C328" s="234" t="n"/>
      <c r="D328" s="234" t="n"/>
      <c r="E328" s="234" t="n"/>
      <c r="L328" s="234" t="n"/>
    </row>
    <row r="329" ht="15" customHeight="1" s="164">
      <c r="C329" s="234" t="n"/>
      <c r="D329" s="234" t="n"/>
      <c r="E329" s="234" t="n"/>
      <c r="L329" s="234" t="n"/>
    </row>
    <row r="330" ht="15" customHeight="1" s="164">
      <c r="C330" s="234" t="n"/>
      <c r="D330" s="234" t="n"/>
      <c r="E330" s="234" t="n"/>
      <c r="L330" s="234" t="n"/>
    </row>
    <row r="331" ht="15" customHeight="1" s="164">
      <c r="C331" s="234" t="n"/>
      <c r="D331" s="234" t="n"/>
      <c r="E331" s="234" t="n"/>
      <c r="L331" s="234" t="n"/>
    </row>
    <row r="332" ht="15" customHeight="1" s="164">
      <c r="C332" s="234" t="n"/>
      <c r="D332" s="234" t="n"/>
      <c r="E332" s="234" t="n"/>
      <c r="L332" s="234" t="n"/>
    </row>
    <row r="333" ht="15" customHeight="1" s="164">
      <c r="C333" s="234" t="n"/>
      <c r="D333" s="234" t="n"/>
      <c r="E333" s="234" t="n"/>
      <c r="L333" s="234" t="n"/>
    </row>
    <row r="334" ht="15" customHeight="1" s="164">
      <c r="C334" s="234" t="n"/>
      <c r="D334" s="234" t="n"/>
      <c r="E334" s="234" t="n"/>
      <c r="L334" s="234" t="n"/>
    </row>
    <row r="335" ht="15" customHeight="1" s="164">
      <c r="C335" s="234" t="n"/>
      <c r="D335" s="234" t="n"/>
      <c r="E335" s="234" t="n"/>
      <c r="L335" s="234" t="n"/>
    </row>
    <row r="336" ht="15" customHeight="1" s="164">
      <c r="C336" s="234" t="n"/>
      <c r="D336" s="234" t="n"/>
      <c r="E336" s="234" t="n"/>
      <c r="L336" s="234" t="n"/>
    </row>
    <row r="337" ht="15" customHeight="1" s="164">
      <c r="C337" s="234" t="n"/>
      <c r="D337" s="234" t="n"/>
      <c r="E337" s="234" t="n"/>
      <c r="L337" s="234" t="n"/>
    </row>
    <row r="338" ht="15" customHeight="1" s="164">
      <c r="C338" s="234" t="n"/>
      <c r="D338" s="234" t="n"/>
      <c r="E338" s="234" t="n"/>
      <c r="L338" s="234" t="n"/>
    </row>
    <row r="339" ht="15" customHeight="1" s="164">
      <c r="C339" s="234" t="n"/>
      <c r="D339" s="234" t="n"/>
      <c r="E339" s="234" t="n"/>
      <c r="L339" s="234" t="n"/>
    </row>
    <row r="340" ht="15" customHeight="1" s="164">
      <c r="C340" s="234" t="n"/>
      <c r="D340" s="234" t="n"/>
      <c r="E340" s="234" t="n"/>
      <c r="L340" s="234" t="n"/>
    </row>
    <row r="341" ht="15" customHeight="1" s="164">
      <c r="C341" s="234" t="n"/>
      <c r="D341" s="234" t="n"/>
      <c r="E341" s="234" t="n"/>
      <c r="L341" s="234" t="n"/>
    </row>
    <row r="342" ht="15" customHeight="1" s="164">
      <c r="C342" s="234" t="n"/>
      <c r="D342" s="234" t="n"/>
      <c r="E342" s="234" t="n"/>
      <c r="L342" s="234" t="n"/>
    </row>
    <row r="343" ht="15" customHeight="1" s="164">
      <c r="C343" s="234" t="n"/>
      <c r="D343" s="234" t="n"/>
      <c r="E343" s="234" t="n"/>
      <c r="L343" s="234" t="n"/>
    </row>
    <row r="344" ht="15" customHeight="1" s="164">
      <c r="C344" s="234" t="n"/>
      <c r="D344" s="234" t="n"/>
      <c r="E344" s="234" t="n"/>
      <c r="L344" s="234" t="n"/>
    </row>
    <row r="345" ht="15" customHeight="1" s="164">
      <c r="C345" s="234" t="n"/>
      <c r="D345" s="234" t="n"/>
      <c r="E345" s="234" t="n"/>
      <c r="L345" s="234" t="n"/>
    </row>
    <row r="346" ht="15" customHeight="1" s="164">
      <c r="C346" s="234" t="n"/>
      <c r="D346" s="234" t="n"/>
      <c r="E346" s="234" t="n"/>
      <c r="L346" s="234" t="n"/>
    </row>
    <row r="347" ht="15" customHeight="1" s="164">
      <c r="C347" s="234" t="n"/>
      <c r="D347" s="234" t="n"/>
      <c r="E347" s="234" t="n"/>
      <c r="L347" s="234" t="n"/>
    </row>
    <row r="348" ht="15" customHeight="1" s="164">
      <c r="C348" s="234" t="n"/>
      <c r="D348" s="234" t="n"/>
      <c r="E348" s="234" t="n"/>
      <c r="L348" s="234" t="n"/>
    </row>
    <row r="349" ht="15" customHeight="1" s="164">
      <c r="C349" s="234" t="n"/>
      <c r="D349" s="234" t="n"/>
      <c r="E349" s="234" t="n"/>
      <c r="L349" s="234" t="n"/>
    </row>
    <row r="350" ht="15" customHeight="1" s="164">
      <c r="C350" s="234" t="n"/>
      <c r="D350" s="234" t="n"/>
      <c r="E350" s="234" t="n"/>
      <c r="L350" s="234" t="n"/>
    </row>
    <row r="351" ht="15" customHeight="1" s="164">
      <c r="C351" s="234" t="n"/>
      <c r="D351" s="234" t="n"/>
      <c r="E351" s="234" t="n"/>
      <c r="L351" s="234" t="n"/>
    </row>
    <row r="352" ht="15" customHeight="1" s="164">
      <c r="C352" s="234" t="n"/>
      <c r="D352" s="234" t="n"/>
      <c r="E352" s="234" t="n"/>
      <c r="L352" s="234" t="n"/>
    </row>
    <row r="353" ht="15" customHeight="1" s="164">
      <c r="C353" s="234" t="n"/>
      <c r="D353" s="234" t="n"/>
      <c r="E353" s="234" t="n"/>
      <c r="L353" s="234" t="n"/>
    </row>
    <row r="354" ht="15" customHeight="1" s="164">
      <c r="C354" s="234" t="n"/>
      <c r="D354" s="234" t="n"/>
      <c r="E354" s="234" t="n"/>
      <c r="L354" s="234" t="n"/>
    </row>
    <row r="355" ht="15" customHeight="1" s="164">
      <c r="C355" s="234" t="n"/>
      <c r="D355" s="234" t="n"/>
      <c r="E355" s="234" t="n"/>
      <c r="L355" s="234" t="n"/>
    </row>
    <row r="356" ht="15" customHeight="1" s="164">
      <c r="C356" s="234" t="n"/>
      <c r="D356" s="234" t="n"/>
      <c r="E356" s="234" t="n"/>
      <c r="L356" s="234" t="n"/>
    </row>
    <row r="357" ht="15" customHeight="1" s="164">
      <c r="C357" s="234" t="n"/>
      <c r="D357" s="234" t="n"/>
      <c r="E357" s="234" t="n"/>
      <c r="L357" s="234" t="n"/>
    </row>
    <row r="358" ht="15" customHeight="1" s="164">
      <c r="C358" s="234" t="n"/>
      <c r="D358" s="234" t="n"/>
      <c r="E358" s="234" t="n"/>
      <c r="L358" s="234" t="n"/>
    </row>
    <row r="359" ht="15" customHeight="1" s="164">
      <c r="C359" s="234" t="n"/>
      <c r="D359" s="234" t="n"/>
      <c r="E359" s="234" t="n"/>
      <c r="L359" s="234" t="n"/>
    </row>
    <row r="360" ht="15" customHeight="1" s="164">
      <c r="C360" s="234" t="n"/>
      <c r="D360" s="234" t="n"/>
      <c r="E360" s="234" t="n"/>
      <c r="L360" s="234" t="n"/>
    </row>
    <row r="361" ht="15" customHeight="1" s="164">
      <c r="C361" s="234" t="n"/>
      <c r="D361" s="234" t="n"/>
      <c r="E361" s="234" t="n"/>
      <c r="L361" s="234" t="n"/>
    </row>
    <row r="362" ht="15" customHeight="1" s="164">
      <c r="C362" s="234" t="n"/>
      <c r="D362" s="234" t="n"/>
      <c r="E362" s="234" t="n"/>
      <c r="L362" s="234" t="n"/>
    </row>
    <row r="363" ht="15" customHeight="1" s="164">
      <c r="C363" s="234" t="n"/>
      <c r="D363" s="234" t="n"/>
      <c r="E363" s="234" t="n"/>
      <c r="L363" s="234" t="n"/>
    </row>
    <row r="364" ht="15" customHeight="1" s="164">
      <c r="C364" s="234" t="n"/>
      <c r="D364" s="234" t="n"/>
      <c r="E364" s="234" t="n"/>
      <c r="L364" s="234" t="n"/>
    </row>
    <row r="365" ht="15" customHeight="1" s="164">
      <c r="C365" s="234" t="n"/>
      <c r="D365" s="234" t="n"/>
      <c r="E365" s="234" t="n"/>
      <c r="L365" s="234" t="n"/>
    </row>
    <row r="366" ht="15" customHeight="1" s="164">
      <c r="C366" s="234" t="n"/>
      <c r="D366" s="234" t="n"/>
      <c r="E366" s="234" t="n"/>
      <c r="L366" s="234" t="n"/>
    </row>
    <row r="367" ht="15" customHeight="1" s="164">
      <c r="C367" s="234" t="n"/>
      <c r="D367" s="234" t="n"/>
      <c r="E367" s="234" t="n"/>
      <c r="L367" s="234" t="n"/>
    </row>
    <row r="368" ht="15" customHeight="1" s="164">
      <c r="C368" s="234" t="n"/>
      <c r="D368" s="234" t="n"/>
      <c r="E368" s="234" t="n"/>
      <c r="L368" s="234" t="n"/>
    </row>
    <row r="369" ht="15" customHeight="1" s="164">
      <c r="C369" s="234" t="n"/>
      <c r="D369" s="234" t="n"/>
      <c r="E369" s="234" t="n"/>
      <c r="L369" s="234" t="n"/>
    </row>
    <row r="370" ht="15" customHeight="1" s="164">
      <c r="C370" s="234" t="n"/>
      <c r="D370" s="234" t="n"/>
      <c r="E370" s="234" t="n"/>
      <c r="L370" s="234" t="n"/>
    </row>
    <row r="371" ht="15" customHeight="1" s="164">
      <c r="C371" s="234" t="n"/>
      <c r="D371" s="234" t="n"/>
      <c r="E371" s="234" t="n"/>
      <c r="L371" s="234" t="n"/>
    </row>
    <row r="372" ht="15" customHeight="1" s="164">
      <c r="C372" s="234" t="n"/>
      <c r="D372" s="234" t="n"/>
      <c r="E372" s="234" t="n"/>
      <c r="L372" s="234" t="n"/>
    </row>
    <row r="373" ht="15" customHeight="1" s="164">
      <c r="C373" s="234" t="n"/>
      <c r="D373" s="234" t="n"/>
      <c r="E373" s="234" t="n"/>
      <c r="L373" s="234" t="n"/>
    </row>
    <row r="374" ht="15" customHeight="1" s="164">
      <c r="C374" s="234" t="n"/>
      <c r="D374" s="234" t="n"/>
      <c r="E374" s="234" t="n"/>
      <c r="L374" s="234" t="n"/>
    </row>
    <row r="375" ht="15" customHeight="1" s="164">
      <c r="C375" s="234" t="n"/>
      <c r="D375" s="234" t="n"/>
      <c r="E375" s="234" t="n"/>
      <c r="L375" s="234" t="n"/>
    </row>
    <row r="376" ht="15" customHeight="1" s="164">
      <c r="C376" s="234" t="n"/>
      <c r="D376" s="234" t="n"/>
      <c r="E376" s="234" t="n"/>
      <c r="L376" s="234" t="n"/>
    </row>
    <row r="377" ht="15" customHeight="1" s="164">
      <c r="C377" s="234" t="n"/>
      <c r="D377" s="234" t="n"/>
      <c r="E377" s="234" t="n"/>
      <c r="L377" s="234" t="n"/>
    </row>
    <row r="378" ht="15" customHeight="1" s="164">
      <c r="C378" s="234" t="n"/>
      <c r="D378" s="234" t="n"/>
      <c r="E378" s="234" t="n"/>
      <c r="L378" s="234" t="n"/>
    </row>
    <row r="379" ht="15" customHeight="1" s="164">
      <c r="C379" s="234" t="n"/>
      <c r="D379" s="234" t="n"/>
      <c r="E379" s="234" t="n"/>
      <c r="L379" s="234" t="n"/>
    </row>
    <row r="380" ht="15" customHeight="1" s="164">
      <c r="C380" s="234" t="n"/>
      <c r="D380" s="234" t="n"/>
      <c r="E380" s="234" t="n"/>
      <c r="L380" s="234" t="n"/>
    </row>
    <row r="381" ht="15" customHeight="1" s="164">
      <c r="C381" s="234" t="n"/>
      <c r="D381" s="234" t="n"/>
      <c r="E381" s="234" t="n"/>
      <c r="L381" s="234" t="n"/>
    </row>
    <row r="382" ht="15" customHeight="1" s="164">
      <c r="C382" s="234" t="n"/>
      <c r="D382" s="234" t="n"/>
      <c r="E382" s="234" t="n"/>
      <c r="L382" s="234" t="n"/>
    </row>
    <row r="383" ht="15" customHeight="1" s="164">
      <c r="C383" s="234" t="n"/>
      <c r="D383" s="234" t="n"/>
      <c r="E383" s="234" t="n"/>
      <c r="L383" s="234" t="n"/>
    </row>
    <row r="384" ht="15" customHeight="1" s="164">
      <c r="C384" s="234" t="n"/>
      <c r="D384" s="234" t="n"/>
      <c r="E384" s="234" t="n"/>
      <c r="L384" s="234" t="n"/>
    </row>
    <row r="385" ht="15" customHeight="1" s="164">
      <c r="C385" s="234" t="n"/>
      <c r="D385" s="234" t="n"/>
      <c r="E385" s="234" t="n"/>
      <c r="L385" s="234" t="n"/>
    </row>
    <row r="386" ht="15" customHeight="1" s="164">
      <c r="C386" s="234" t="n"/>
      <c r="D386" s="234" t="n"/>
      <c r="E386" s="234" t="n"/>
      <c r="L386" s="234" t="n"/>
    </row>
    <row r="387" ht="15" customHeight="1" s="164">
      <c r="C387" s="234" t="n"/>
      <c r="D387" s="234" t="n"/>
      <c r="E387" s="234" t="n"/>
      <c r="L387" s="234" t="n"/>
    </row>
    <row r="388" ht="15" customHeight="1" s="164">
      <c r="C388" s="234" t="n"/>
      <c r="D388" s="234" t="n"/>
      <c r="E388" s="234" t="n"/>
      <c r="L388" s="234" t="n"/>
    </row>
    <row r="389" ht="15" customHeight="1" s="164">
      <c r="C389" s="234" t="n"/>
      <c r="D389" s="234" t="n"/>
      <c r="E389" s="234" t="n"/>
      <c r="L389" s="234" t="n"/>
    </row>
    <row r="390" ht="15" customHeight="1" s="164">
      <c r="C390" s="234" t="n"/>
      <c r="D390" s="234" t="n"/>
      <c r="E390" s="234" t="n"/>
      <c r="L390" s="234" t="n"/>
    </row>
    <row r="391" ht="15" customHeight="1" s="164">
      <c r="C391" s="234" t="n"/>
      <c r="D391" s="234" t="n"/>
      <c r="E391" s="234" t="n"/>
      <c r="L391" s="234" t="n"/>
    </row>
    <row r="392" ht="15" customHeight="1" s="164">
      <c r="C392" s="234" t="n"/>
      <c r="D392" s="234" t="n"/>
      <c r="E392" s="234" t="n"/>
      <c r="L392" s="234" t="n"/>
    </row>
    <row r="393" ht="15" customHeight="1" s="164">
      <c r="C393" s="234" t="n"/>
      <c r="D393" s="234" t="n"/>
      <c r="E393" s="234" t="n"/>
      <c r="L393" s="234" t="n"/>
    </row>
    <row r="394" ht="15" customHeight="1" s="164">
      <c r="C394" s="234" t="n"/>
      <c r="D394" s="234" t="n"/>
      <c r="E394" s="234" t="n"/>
      <c r="L394" s="234" t="n"/>
    </row>
    <row r="395" ht="15" customHeight="1" s="164">
      <c r="C395" s="234" t="n"/>
      <c r="D395" s="234" t="n"/>
      <c r="E395" s="234" t="n"/>
      <c r="L395" s="234" t="n"/>
    </row>
    <row r="396" ht="15" customHeight="1" s="164">
      <c r="C396" s="234" t="n"/>
      <c r="D396" s="234" t="n"/>
      <c r="E396" s="234" t="n"/>
      <c r="L396" s="234" t="n"/>
    </row>
    <row r="397" ht="15" customHeight="1" s="164">
      <c r="C397" s="234" t="n"/>
      <c r="D397" s="234" t="n"/>
      <c r="E397" s="234" t="n"/>
      <c r="L397" s="234" t="n"/>
    </row>
    <row r="398" ht="15" customHeight="1" s="164">
      <c r="C398" s="234" t="n"/>
      <c r="D398" s="234" t="n"/>
      <c r="E398" s="234" t="n"/>
      <c r="L398" s="234" t="n"/>
    </row>
    <row r="399" ht="15" customHeight="1" s="164">
      <c r="C399" s="234" t="n"/>
      <c r="D399" s="234" t="n"/>
      <c r="E399" s="234" t="n"/>
      <c r="L399" s="234" t="n"/>
    </row>
    <row r="400" ht="15" customHeight="1" s="164">
      <c r="C400" s="234" t="n"/>
      <c r="D400" s="234" t="n"/>
      <c r="E400" s="234" t="n"/>
      <c r="L400" s="234" t="n"/>
    </row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autoFilter ref="B5:O200"/>
  <mergeCells count="17">
    <mergeCell ref="B2:M3"/>
    <mergeCell ref="AB1:AC1"/>
    <mergeCell ref="D1:E1"/>
    <mergeCell ref="X1:Y1"/>
    <mergeCell ref="V1:W1"/>
    <mergeCell ref="T1:U1"/>
    <mergeCell ref="H1:I1"/>
    <mergeCell ref="Z1:AA1"/>
    <mergeCell ref="L1:M1"/>
    <mergeCell ref="J1:K1"/>
    <mergeCell ref="P1:Q1"/>
    <mergeCell ref="I4:O4"/>
    <mergeCell ref="F1:G1"/>
    <mergeCell ref="C4:H4"/>
    <mergeCell ref="B1:C1"/>
    <mergeCell ref="N1:O1"/>
    <mergeCell ref="R1:S1"/>
  </mergeCells>
  <conditionalFormatting sqref="G6:G99">
    <cfRule type="cellIs" rank="0" priority="2" equalAverage="0" operator="equal" aboveAverage="0" dxfId="23" text="" percent="0" bottom="0">
      <formula>"Refusé"</formula>
    </cfRule>
    <cfRule type="cellIs" rank="0" priority="3" equalAverage="0" operator="equal" aboveAverage="0" dxfId="24" text="" percent="0" bottom="0">
      <formula>"Candidature envoyée"</formula>
    </cfRule>
    <cfRule type="cellIs" rank="0" priority="4" equalAverage="0" operator="equal" aboveAverage="0" dxfId="25" text="" percent="0" bottom="0">
      <formula>"Entretien"</formula>
    </cfRule>
    <cfRule type="cellIs" rank="0" priority="5" equalAverage="0" operator="equal" aboveAverage="0" dxfId="26" text="" percent="0" bottom="0">
      <formula>"Offre"</formula>
    </cfRule>
  </conditionalFormatting>
  <conditionalFormatting sqref="B6:O200">
    <cfRule type="expression" rank="0" priority="6" equalAverage="0" aboveAverage="0" dxfId="0" text="" percent="0" bottom="0">
      <formula>$G6="Entretien"</formula>
    </cfRule>
    <cfRule type="expression" rank="0" priority="7" equalAverage="0" aboveAverage="0" dxfId="27" text="" percent="0" bottom="0">
      <formula>$G6="Offre"</formula>
    </cfRule>
    <cfRule type="expression" rank="0" priority="8" equalAverage="0" aboveAverage="0" dxfId="28" text="" percent="0" bottom="0">
      <formula>$G6="Refusé"</formula>
    </cfRule>
    <cfRule type="expression" rank="0" priority="9" equalAverage="0" aboveAverage="0" dxfId="29" text="" percent="0" bottom="0">
      <formula>$G6="En attente"</formula>
    </cfRule>
  </conditionalFormatting>
  <conditionalFormatting sqref="O6:O200">
    <cfRule type="expression" rank="0" priority="10" equalAverage="0" aboveAverage="0" dxfId="30" text="" percent="0" bottom="0">
      <formula>$O6="A relancer"</formula>
    </cfRule>
  </conditionalFormatting>
  <conditionalFormatting sqref="T6:T200">
    <cfRule type="expression" rank="0" priority="11" equalAverage="0" aboveAverage="0" dxfId="31" text="" percent="0" bottom="0">
      <formula>$T6&lt;&gt;""</formula>
    </cfRule>
  </conditionalFormatting>
  <conditionalFormatting sqref="B6:T200">
    <cfRule type="expression" rank="0" priority="12" equalAverage="0" aboveAverage="0" dxfId="32" text="" percent="0" bottom="0">
      <formula>$T6&lt;&gt;""</formula>
    </cfRule>
  </conditionalFormatting>
  <conditionalFormatting sqref="R6:R200">
    <cfRule type="colorScale" priority="13">
      <colorScale>
        <cfvo type="formula" val="0"/>
        <cfvo type="formula" val="50"/>
        <cfvo type="formula" val="100"/>
        <color rgb="FFF8696B"/>
        <color rgb="FFFFEB84"/>
        <color rgb="FF63BE7B"/>
      </colorScale>
    </cfRule>
  </conditionalFormatting>
  <dataValidations count="2">
    <dataValidation sqref="G6:G200" showDropDown="0" showInputMessage="0" showErrorMessage="0" allowBlank="1" type="list" errorStyle="stop" operator="between">
      <formula1>"Candidature envoyée,Refusé,Entretien,Offre,En attente"</formula1>
      <formula2>0</formula2>
    </dataValidation>
    <dataValidation sqref="E6:E200" showDropDown="0" showInputMessage="0" showErrorMessage="0" allowBlank="1" type="list" errorStyle="stop" operator="between">
      <formula1>Dashboard!$E$58:$E$97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B1:AC3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22" customWidth="1" style="163" min="2" max="2"/>
    <col width="4" customWidth="1" style="163" min="3" max="3"/>
    <col width="14" customWidth="1" style="163" min="4" max="4"/>
    <col width="12" customWidth="1" style="163" min="5" max="6"/>
    <col width="16" customWidth="1" style="163" min="7" max="7"/>
    <col width="10" customWidth="1" style="163" min="8" max="8"/>
    <col width="8.710000000000001" customWidth="1" style="163" min="9" max="9"/>
    <col hidden="1" width="13" customWidth="1" style="163" min="10" max="10"/>
    <col width="8.710000000000001" customWidth="1" style="163" min="11" max="29"/>
  </cols>
  <sheetData>
    <row r="1" ht="19.5" customHeight="1" s="164">
      <c r="B1" s="166" t="inlineStr">
        <is>
          <t>DASHBOARD</t>
        </is>
      </c>
      <c r="D1" s="165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BRIEFING DU JOUR</t>
        </is>
      </c>
    </row>
    <row r="3" ht="15" customHeight="1" s="164"/>
    <row r="4" ht="15" customHeight="1" s="164">
      <c r="B4" s="236">
        <f>TEXT(TODAY(),"dddd d mmmm yyyy")</f>
        <v/>
      </c>
    </row>
    <row r="5" ht="15" customHeight="1" s="164"/>
    <row r="6" ht="15" customHeight="1" s="164">
      <c r="B6" s="198" t="inlineStr">
        <is>
          <t>Citation du jour</t>
        </is>
      </c>
      <c r="J6" s="169" t="inlineStr">
        <is>
          <t>idx</t>
        </is>
      </c>
    </row>
    <row r="7" ht="15" customHeight="1" s="164">
      <c r="B7" s="237">
        <f t="array" ref="B7:B7">INDEX($J$7:$J$18,RANDBETWEEN(1,12))</f>
        <v/>
      </c>
      <c r="J7" s="169" t="inlineStr">
        <is>
          <t>Chaque non vous rapproche d'un oui.</t>
        </is>
      </c>
    </row>
    <row r="8" ht="15" customHeight="1" s="164">
      <c r="J8" s="169" t="inlineStr">
        <is>
          <t>La régularité bat le talent quand le talent ne travaille pas régulièrement.</t>
        </is>
      </c>
    </row>
    <row r="9" ht="15" customHeight="1" s="164">
      <c r="J9" s="169" t="inlineStr">
        <is>
          <t>Un entretien raté est une leçon, pas un échec.</t>
        </is>
      </c>
    </row>
    <row r="10" ht="15" customHeight="1" s="164">
      <c r="B10" s="198" t="inlineStr">
        <is>
          <t>OBJECTIF DE LA SEMAINE</t>
        </is>
      </c>
      <c r="J10" s="169" t="inlineStr">
        <is>
          <t>Votre prochain email pourrait être celui qui change tout.</t>
        </is>
      </c>
    </row>
    <row r="11" ht="15" customHeight="1" s="164">
      <c r="B11" s="195" t="inlineStr">
        <is>
          <t>Candidatures envoyées cette semaine :</t>
        </is>
      </c>
      <c r="E11" s="198" t="n">
        <v>30</v>
      </c>
      <c r="J11" s="169" t="inlineStr">
        <is>
          <t>La persévérance transforme les refus en expérience.</t>
        </is>
      </c>
    </row>
    <row r="12" ht="15" customHeight="1" s="164">
      <c r="B12" s="195" t="inlineStr">
        <is>
          <t>Objectif hebdomadaire :</t>
        </is>
      </c>
      <c r="E12" s="198" t="n">
        <v>6</v>
      </c>
      <c r="J12" s="169" t="inlineStr">
        <is>
          <t>On ne perd jamais vraiment : soit on gagne, soit on apprend.</t>
        </is>
      </c>
    </row>
    <row r="13" ht="17.25" customHeight="1" s="164">
      <c r="B13" s="238" t="inlineStr">
        <is>
          <t>Restant à envoyer aujourd'hui/cette semaine :</t>
        </is>
      </c>
      <c r="E13" s="239">
        <f>MAX(0,$E$12-$E$11)</f>
        <v/>
      </c>
      <c r="J13" s="169" t="inlineStr">
        <is>
          <t>Le meilleur moment pour postuler, c'est maintenant.</t>
        </is>
      </c>
    </row>
    <row r="14" ht="15" customHeight="1" s="164">
      <c r="J14" s="169" t="inlineStr">
        <is>
          <t>Chaque candidature envoyée est une porte ouverte de plus.</t>
        </is>
      </c>
    </row>
    <row r="15" ht="15" customHeight="1" s="164">
      <c r="B15" s="199" t="inlineStr">
        <is>
          <t>Conseil du jour :</t>
        </is>
      </c>
      <c r="J15" s="169" t="inlineStr">
        <is>
          <t>Success is the sum of small efforts repeated daily.</t>
        </is>
      </c>
    </row>
    <row r="16" ht="15" customHeight="1" s="164">
      <c r="B16" s="240">
        <f>IF($E$13=0,"Objectif hebdomadaire deja atteint — concentrez-vous sur les relances et la préparation d'entretien !","Envoyez encore "&amp;$E$13&amp;" candidature(s) aujourd'hui pour rester dans votre rythme.")</f>
        <v/>
      </c>
      <c r="J16" s="169" t="inlineStr">
        <is>
          <t>Focus on progress, not perfection.</t>
        </is>
      </c>
    </row>
    <row r="17" ht="15" customHeight="1" s="164">
      <c r="J17" s="169" t="inlineStr">
        <is>
          <t>Le silence d'une entreprise n'est pas un jugement sur votre valeur.</t>
        </is>
      </c>
    </row>
    <row r="18" ht="15" customHeight="1" s="164">
      <c r="B18" s="198" t="inlineStr">
        <is>
          <t>RELANCES PRIORITAIRES</t>
        </is>
      </c>
      <c r="J18" s="169" t="inlineStr">
        <is>
          <t>Un 'peut-être' vaut mieux qu'un 'jamais essayé'.</t>
        </is>
      </c>
    </row>
    <row r="19" ht="15" customHeight="1" s="164">
      <c r="B19" s="204" t="inlineStr">
        <is>
          <t>Entreprise</t>
        </is>
      </c>
      <c r="D19" s="204" t="inlineStr">
        <is>
          <t>Poste</t>
        </is>
      </c>
      <c r="G19" s="204" t="inlineStr">
        <is>
          <t>Jours sans réponse</t>
        </is>
      </c>
      <c r="J19" s="169" t="inlineStr">
        <is>
          <t>idx2</t>
        </is>
      </c>
    </row>
    <row r="20" ht="15" customHeight="1" s="164">
      <c r="B20" s="195">
        <f t="array" ref="B20:B20">IFERROR(INDEX(Applications!$C$6:$C$200,MATCH(1,Applications!$P$6:$P$200,0)),"")</f>
        <v/>
      </c>
      <c r="D20" s="195">
        <f t="array" ref="D20:D20">IFERROR(INDEX(Applications!$D$6:$D$200,MATCH(1,Applications!$P$6:$P$200,0)),"")</f>
        <v/>
      </c>
      <c r="G20" s="196">
        <f t="array" ref="G20:G20">IFERROR(INDEX(Applications!$N$6:$N$200,MATCH(1,Applications!$P$6:$P$200,0)),"")</f>
        <v/>
      </c>
    </row>
    <row r="21" ht="15" customHeight="1" s="164">
      <c r="B21" s="195">
        <f t="array" ref="B21:B21">IFERROR(INDEX(Applications!$C$6:$C$200,MATCH(2,Applications!$P$6:$P$200,0)),"")</f>
        <v/>
      </c>
      <c r="D21" s="195">
        <f t="array" ref="D21:D21">IFERROR(INDEX(Applications!$D$6:$D$200,MATCH(2,Applications!$P$6:$P$200,0)),"")</f>
        <v/>
      </c>
      <c r="G21" s="196">
        <f t="array" ref="G21:G21">IFERROR(INDEX(Applications!$N$6:$N$200,MATCH(2,Applications!$P$6:$P$200,0)),"")</f>
        <v/>
      </c>
    </row>
    <row r="22" ht="15" customHeight="1" s="164">
      <c r="B22" s="195">
        <f t="array" ref="B22:B22">IFERROR(INDEX(Applications!$C$6:$C$200,MATCH(3,Applications!$P$6:$P$200,0)),"")</f>
        <v/>
      </c>
      <c r="D22" s="195">
        <f t="array" ref="D22:D22">IFERROR(INDEX(Applications!$D$6:$D$200,MATCH(3,Applications!$P$6:$P$200,0)),"")</f>
        <v/>
      </c>
      <c r="G22" s="196">
        <f t="array" ref="G22:G22">IFERROR(INDEX(Applications!$N$6:$N$200,MATCH(3,Applications!$P$6:$P$200,0)),"")</f>
        <v/>
      </c>
    </row>
    <row r="23" ht="15" customHeight="1" s="164">
      <c r="B23" s="195">
        <f t="array" ref="B23:B23">IFERROR(INDEX(Applications!$C$6:$C$200,MATCH(4,Applications!$P$6:$P$200,0)),"")</f>
        <v/>
      </c>
      <c r="D23" s="195">
        <f t="array" ref="D23:D23">IFERROR(INDEX(Applications!$D$6:$D$200,MATCH(4,Applications!$P$6:$P$200,0)),"")</f>
        <v/>
      </c>
      <c r="G23" s="196">
        <f t="array" ref="G23:G23">IFERROR(INDEX(Applications!$N$6:$N$200,MATCH(4,Applications!$P$6:$P$200,0)),"")</f>
        <v/>
      </c>
    </row>
    <row r="24" ht="15" customHeight="1" s="164">
      <c r="B24" s="195">
        <f t="array" ref="B24:B24">IFERROR(INDEX(Applications!$C$6:$C$200,MATCH(5,Applications!$P$6:$P$200,0)),"")</f>
        <v/>
      </c>
      <c r="D24" s="195">
        <f t="array" ref="D24:D24">IFERROR(INDEX(Applications!$D$6:$D$200,MATCH(5,Applications!$P$6:$P$200,0)),"")</f>
        <v/>
      </c>
      <c r="G24" s="196">
        <f t="array" ref="G24:G24">IFERROR(INDEX(Applications!$N$6:$N$200,MATCH(5,Applications!$P$6:$P$200,0)),"")</f>
        <v/>
      </c>
    </row>
    <row r="25" ht="15.75" customHeight="1" s="164"/>
    <row r="26" ht="15.75" customHeight="1" s="164"/>
    <row r="27" ht="15" customHeight="1" s="164">
      <c r="B27" s="198" t="inlineStr">
        <is>
          <t>CANDIDATURES EN ENTRETIEN — A PREPARER</t>
        </is>
      </c>
    </row>
    <row r="28" ht="15" customHeight="1" s="164">
      <c r="B28" s="204" t="inlineStr">
        <is>
          <t>Entreprise</t>
        </is>
      </c>
      <c r="D28" s="204" t="inlineStr">
        <is>
          <t>Poste</t>
        </is>
      </c>
    </row>
    <row r="29" ht="15" customHeight="1" s="164">
      <c r="B29" s="195">
        <f t="array" ref="B29:B29">IFERROR(INDEX(Applications!$C$6:$C$200,MATCH(1,Applications!$U$6:$U$200,0)),"")</f>
        <v/>
      </c>
      <c r="D29" s="195">
        <f t="array" ref="D29:D29">IFERROR(INDEX(Applications!$D$6:$D$200,MATCH(1,Applications!$U$6:$U$200,0)),"")</f>
        <v/>
      </c>
    </row>
    <row r="30" ht="15" customHeight="1" s="164">
      <c r="B30" s="195">
        <f t="array" ref="B30:B30">IFERROR(INDEX(Applications!$C$6:$C$200,MATCH(2,Applications!$U$6:$U$200,0)),"")</f>
        <v/>
      </c>
      <c r="D30" s="195">
        <f t="array" ref="D30:D30">IFERROR(INDEX(Applications!$D$6:$D$200,MATCH(2,Applications!$U$6:$U$200,0)),"")</f>
        <v/>
      </c>
    </row>
    <row r="31" ht="15" customHeight="1" s="164">
      <c r="B31" s="195">
        <f t="array" ref="B31:B31">IFERROR(INDEX(Applications!$C$6:$C$200,MATCH(3,Applications!$U$6:$U$200,0)),"")</f>
        <v/>
      </c>
      <c r="D31" s="195">
        <f t="array" ref="D31:D31">IFERROR(INDEX(Applications!$D$6:$D$200,MATCH(3,Applications!$U$6:$U$200,0)),"")</f>
        <v/>
      </c>
    </row>
    <row r="32" ht="15.75" customHeight="1" s="164"/>
    <row r="33" ht="15.75" customHeight="1" s="164"/>
    <row r="34" ht="15.75" customHeight="1" s="164"/>
    <row r="35" ht="15.75" customHeight="1" s="164"/>
    <row r="36" ht="15.75" customHeight="1" s="164"/>
    <row r="37" ht="15.75" customHeight="1" s="164"/>
    <row r="38" ht="15.75" customHeight="1" s="164"/>
    <row r="39" ht="15.75" customHeight="1" s="164"/>
    <row r="40" ht="15.75" customHeight="1" s="164"/>
    <row r="41" ht="15.75" customHeight="1" s="164"/>
    <row r="42" ht="15.75" customHeight="1" s="164"/>
    <row r="43" ht="15.75" customHeight="1" s="164"/>
    <row r="44" ht="15.75" customHeight="1" s="164"/>
    <row r="45" ht="15.75" customHeight="1" s="164"/>
    <row r="46" ht="15.75" customHeight="1" s="164"/>
    <row r="47" ht="15.75" customHeight="1" s="164"/>
    <row r="48" ht="15.75" customHeight="1" s="164"/>
    <row r="49" ht="15.75" customHeight="1" s="164"/>
    <row r="50" ht="15.75" customHeight="1" s="164"/>
    <row r="51" ht="15.75" customHeight="1" s="164"/>
    <row r="52" ht="15.75" customHeight="1" s="164"/>
    <row r="53" ht="15.75" customHeight="1" s="164"/>
    <row r="54" ht="15.75" customHeight="1" s="164"/>
    <row r="55" ht="15.75" customHeight="1" s="164"/>
    <row r="56" ht="15.75" customHeight="1" s="164"/>
    <row r="57" ht="15.75" customHeight="1" s="164"/>
    <row r="58" ht="15.75" customHeight="1" s="164"/>
    <row r="59" ht="15.75" customHeight="1" s="164"/>
    <row r="60" ht="15.7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27">
    <mergeCell ref="D1:E1"/>
    <mergeCell ref="H1:I1"/>
    <mergeCell ref="J1:K1"/>
    <mergeCell ref="P1:Q1"/>
    <mergeCell ref="B2:H3"/>
    <mergeCell ref="D28:F28"/>
    <mergeCell ref="AB1:AC1"/>
    <mergeCell ref="V1:W1"/>
    <mergeCell ref="B16:H16"/>
    <mergeCell ref="D30:F30"/>
    <mergeCell ref="B1:C1"/>
    <mergeCell ref="N1:O1"/>
    <mergeCell ref="D24:F24"/>
    <mergeCell ref="D29:F29"/>
    <mergeCell ref="D23:F23"/>
    <mergeCell ref="T1:U1"/>
    <mergeCell ref="L1:M1"/>
    <mergeCell ref="D20:F20"/>
    <mergeCell ref="D19:F19"/>
    <mergeCell ref="X1:Y1"/>
    <mergeCell ref="D31:F31"/>
    <mergeCell ref="Z1:AA1"/>
    <mergeCell ref="D22:F22"/>
    <mergeCell ref="D21:F21"/>
    <mergeCell ref="B7:H8"/>
    <mergeCell ref="F1:G1"/>
    <mergeCell ref="R1:S1"/>
  </mergeCells>
  <hyperlinks>
    <hyperlink ref="B1" location="Dashboard!A1" display="DASHBOARD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B1:AG2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3" customWidth="1" style="163" min="1" max="1"/>
    <col width="45" customWidth="1" style="163" min="2" max="2"/>
    <col width="3" customWidth="1" style="163" min="3" max="3"/>
    <col width="53" customWidth="1" style="163" min="4" max="4"/>
    <col width="3" customWidth="1" style="163" min="5" max="5"/>
    <col width="50.29" customWidth="1" style="163" min="6" max="6"/>
    <col width="14.29" customWidth="1" style="163" min="7" max="7"/>
    <col width="18.71" customWidth="1" style="163" min="8" max="8"/>
    <col width="8" customWidth="1" style="163" min="9" max="26"/>
  </cols>
  <sheetData>
    <row r="1" ht="1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5" t="inlineStr">
        <is>
          <t>RESSOURCES</t>
        </is>
      </c>
      <c r="AD1" s="163" t="n"/>
      <c r="AE1" s="163" t="n"/>
      <c r="AF1" s="163" t="n"/>
      <c r="AG1" s="163" t="n"/>
    </row>
    <row r="2" ht="15" customHeight="1" s="164">
      <c r="B2" s="241" t="inlineStr">
        <is>
          <t>BOÎTE À OUTILS DE RECHERCHE D'EMPLOI</t>
        </is>
      </c>
    </row>
    <row r="3" ht="15" customHeight="1" s="164"/>
    <row r="4" ht="15" customHeight="1" s="164"/>
    <row r="5" ht="15" customHeight="1" s="164">
      <c r="B5" s="242" t="inlineStr">
        <is>
          <t>MOTS-CLÉS DE POSTE (exemples — à remplacer par les vôtres)</t>
        </is>
      </c>
      <c r="D5" s="242" t="inlineStr">
        <is>
          <t>PLATEFORMES D'EMPLOI</t>
        </is>
      </c>
      <c r="F5" s="198" t="inlineStr">
        <is>
          <t>CHECKLIST INTERACTIVE — DOSSIER DE CANDIDATURE</t>
        </is>
      </c>
    </row>
    <row r="6" ht="15" customHeight="1" s="164">
      <c r="B6" s="243" t="inlineStr">
        <is>
          <t>▸  Coordinator</t>
        </is>
      </c>
      <c r="D6" s="243" t="inlineStr">
        <is>
          <t>▸  LinkedIn Jobs</t>
        </is>
      </c>
      <c r="F6" s="244" t="inlineStr">
        <is>
          <t>☑</t>
        </is>
      </c>
      <c r="G6" s="195" t="inlineStr">
        <is>
          <t>CV à jour (dernière version)</t>
        </is>
      </c>
    </row>
    <row r="7" ht="15" customHeight="1" s="164">
      <c r="B7" s="243" t="inlineStr">
        <is>
          <t>▸  Assistant</t>
        </is>
      </c>
      <c r="D7" s="243" t="inlineStr">
        <is>
          <t>▸  Indeed</t>
        </is>
      </c>
      <c r="F7" s="244" t="inlineStr">
        <is>
          <t>☑</t>
        </is>
      </c>
      <c r="G7" s="195" t="inlineStr">
        <is>
          <t>Lettre de motivation personnalisée</t>
        </is>
      </c>
    </row>
    <row r="8" ht="15" customHeight="1" s="164">
      <c r="B8" s="243" t="inlineStr">
        <is>
          <t>▸  Associate</t>
        </is>
      </c>
      <c r="D8" s="243" t="inlineStr">
        <is>
          <t>▸  Glassdoor</t>
        </is>
      </c>
      <c r="F8" s="244" t="inlineStr">
        <is>
          <t>☑</t>
        </is>
      </c>
      <c r="G8" s="195" t="inlineStr">
        <is>
          <t>2 lettres de recommandation</t>
        </is>
      </c>
    </row>
    <row r="9" ht="15" customHeight="1" s="164">
      <c r="B9" s="243" t="inlineStr">
        <is>
          <t>▸  Specialist</t>
        </is>
      </c>
      <c r="D9" s="243" t="inlineStr">
        <is>
          <t>▸  [Plateforme locale de votre pays]</t>
        </is>
      </c>
      <c r="F9" s="244" t="inlineStr">
        <is>
          <t>☑</t>
        </is>
      </c>
      <c r="G9" s="195" t="inlineStr">
        <is>
          <t>Profil LinkedIn optimisé</t>
        </is>
      </c>
    </row>
    <row r="10" ht="15" customHeight="1" s="164">
      <c r="B10" s="243" t="inlineStr">
        <is>
          <t>▸  Analyst</t>
        </is>
      </c>
      <c r="F10" s="244" t="inlineStr">
        <is>
          <t>☑</t>
        </is>
      </c>
      <c r="G10" s="195" t="inlineStr">
        <is>
          <t>Portfolio / certifications jointes</t>
        </is>
      </c>
    </row>
    <row r="11" ht="15" customHeight="1" s="164">
      <c r="B11" s="243" t="inlineStr">
        <is>
          <t>▸  Junior [Votre domaine]</t>
        </is>
      </c>
      <c r="F11" s="244" t="inlineStr">
        <is>
          <t>☑</t>
        </is>
      </c>
      <c r="G11" s="195" t="inlineStr">
        <is>
          <t>Références vérifiées et prévenues</t>
        </is>
      </c>
    </row>
    <row r="12" ht="15" customHeight="1" s="164">
      <c r="B12" s="243" t="inlineStr">
        <is>
          <t>▸  [Ajoutez vos propres mots-clés ici]</t>
        </is>
      </c>
      <c r="D12" s="242" t="inlineStr">
        <is>
          <t>PAGES CARRIÈRES — ENTREPRISES CIBLES (exemples)</t>
        </is>
      </c>
    </row>
    <row r="13" ht="15" customHeight="1" s="164">
      <c r="D13" s="243" t="inlineStr">
        <is>
          <t>▸  [Entreprise cible 1] Careers</t>
        </is>
      </c>
      <c r="F13" s="199" t="inlineStr">
        <is>
          <t>Progression :</t>
        </is>
      </c>
      <c r="G13" s="200">
        <f>COUNTIF(F6:F11,"☑")&amp;" / "&amp;COUNTA(F6:F11)&amp;" complétés ("&amp;TEXT(COUNTIF(F6:F11,"☑")/COUNTA(F6:F11),"0%")&amp;")"</f>
        <v/>
      </c>
    </row>
    <row r="14" ht="15" customHeight="1" s="164">
      <c r="D14" s="243" t="inlineStr">
        <is>
          <t>▸  [Entreprise cible 2] Careers</t>
        </is>
      </c>
    </row>
    <row r="15" ht="15" customHeight="1" s="164">
      <c r="B15" s="242" t="inlineStr">
        <is>
          <t>MOTS-CLÉS DANS UNE AUTRE LANGUE (si besoin)</t>
        </is>
      </c>
      <c r="D15" s="243" t="inlineStr">
        <is>
          <t>▸  [Entreprise cible 3] Careers</t>
        </is>
      </c>
    </row>
    <row r="16" ht="15" customHeight="1" s="164">
      <c r="B16" s="245" t="inlineStr">
        <is>
          <t>▸  [Mot-clé 1 dans votre autre langue]</t>
        </is>
      </c>
      <c r="D16" s="243" t="inlineStr">
        <is>
          <t>▸  [Entreprise cible 4] Careers</t>
        </is>
      </c>
      <c r="F16" s="198" t="inlineStr">
        <is>
          <t>MODÈLES DE MESSAGES — PRISE DE CONTACT</t>
        </is>
      </c>
    </row>
    <row r="17" ht="15" customHeight="1" s="164">
      <c r="B17" s="245" t="inlineStr">
        <is>
          <t>▸  [Mot-clé 2 dans votre autre langue]</t>
        </is>
      </c>
      <c r="D17" s="243" t="inlineStr">
        <is>
          <t>▸  [Entreprise cible 5] Careers</t>
        </is>
      </c>
      <c r="F17" s="209" t="inlineStr">
        <is>
          <t>LinkedIn — 1er contact RH</t>
        </is>
      </c>
    </row>
    <row r="18" ht="32.25" customHeight="1" s="164">
      <c r="B18" s="245" t="inlineStr">
        <is>
          <t>▸  [Mot-clé 3 dans votre autre langue]</t>
        </is>
      </c>
      <c r="D18" s="243" t="inlineStr">
        <is>
          <t>▸  [Entreprise cible 6] Careers</t>
        </is>
      </c>
      <c r="F18" s="246" t="inlineStr">
        <is>
          <t>Bonjour [Prénom], je viens de postuler au poste de [intitulé] chez [Entreprise]. Mon expérience en [votre domaine] correspond bien au profil recherché. Je serais ravi(e) d'échanger avec vous si l'occasion se présente. Merci et bonne journée !</t>
        </is>
      </c>
    </row>
    <row r="19" ht="15" customHeight="1" s="164"/>
    <row r="20" ht="15" customHeight="1" s="164">
      <c r="F20" s="209" t="inlineStr">
        <is>
          <t>LinkedIn — relance après 10-14 jours</t>
        </is>
      </c>
    </row>
    <row r="21" ht="21.75" customHeight="1" s="164">
      <c r="D21" s="242" t="inlineStr">
        <is>
          <t>DOSSIER DE CANDIDATURE SPONTANÉE — CHECKLIST</t>
        </is>
      </c>
      <c r="F21" s="246" t="inlineStr">
        <is>
          <t>Bonjour [Prénom], je me permets de revenir vers vous concernant ma candidature au poste de [intitulé] envoyée le [date]. Je reste très intéressé(e) et disponible pour un échange quand cela vous conviendra. Bien à vous.</t>
        </is>
      </c>
    </row>
    <row r="22" ht="15" customHeight="1" s="164">
      <c r="D22" s="243" t="inlineStr">
        <is>
          <t>▸  Lettre de motivation personnalisée</t>
        </is>
      </c>
    </row>
    <row r="23" ht="15" customHeight="1" s="164">
      <c r="D23" s="243" t="inlineStr">
        <is>
          <t>▸  CV</t>
        </is>
      </c>
      <c r="F23" s="209" t="inlineStr">
        <is>
          <t>Email — candidature spontanée</t>
        </is>
      </c>
    </row>
    <row r="24" ht="95.25" customHeight="1" s="164">
      <c r="D24" s="243" t="inlineStr">
        <is>
          <t>▸  2 lettres de recommandation</t>
        </is>
      </c>
      <c r="F24" s="246" t="inlineStr">
        <is>
          <t>Objet : Candidature spontanée — [Votre nom], [Votre domaine]
Bonjour,
Je me permets de vous contacter au sujet d'éventuelles opportunités dans vos équipes. Vous trouverez ci-joint mon CV. Je serais heureux/heureuse d'échanger sur la manière dont mon profil pourrait répondre à vos besoins.
Cordialement,
[Votre nom]</t>
        </is>
      </c>
    </row>
    <row r="25" ht="15" customHeight="1" s="164"/>
    <row r="26" ht="15" customHeight="1" s="164"/>
    <row r="27" ht="15" customHeight="1" s="164"/>
    <row r="28" ht="15" customHeight="1" s="164"/>
    <row r="29" ht="15" customHeight="1" s="164"/>
    <row r="30" ht="15" customHeight="1" s="164"/>
    <row r="31" ht="15" customHeight="1" s="164"/>
    <row r="32" ht="15" customHeight="1" s="164"/>
    <row r="33" ht="15" customHeight="1" s="164"/>
    <row r="34" ht="15" customHeight="1" s="164"/>
    <row r="35" ht="15" customHeight="1" s="164"/>
    <row r="36" ht="15" customHeight="1" s="164"/>
    <row r="37" ht="15" customHeight="1" s="164"/>
    <row r="38" ht="15" customHeight="1" s="164"/>
    <row r="39" ht="15" customHeight="1" s="164"/>
    <row r="40" ht="15" customHeight="1" s="164"/>
    <row r="41" ht="15" customHeight="1" s="164"/>
    <row r="42" ht="15" customHeight="1" s="164"/>
    <row r="43" ht="15" customHeight="1" s="164"/>
    <row r="44" ht="15" customHeight="1" s="164"/>
    <row r="45" ht="15" customHeight="1" s="164"/>
    <row r="46" ht="15" customHeight="1" s="164"/>
    <row r="47" ht="15" customHeight="1" s="164"/>
    <row r="48" ht="15" customHeight="1" s="164"/>
    <row r="49" ht="15" customHeight="1" s="164"/>
    <row r="50" ht="15" customHeight="1" s="164"/>
    <row r="51" ht="15" customHeight="1" s="164"/>
    <row r="52" ht="15" customHeight="1" s="164"/>
    <row r="53" ht="15" customHeight="1" s="164"/>
    <row r="54" ht="15" customHeight="1" s="164"/>
    <row r="55" ht="15" customHeight="1" s="164"/>
    <row r="56" ht="15" customHeight="1" s="164"/>
    <row r="57" ht="15" customHeight="1" s="164"/>
    <row r="58" ht="15" customHeight="1" s="164"/>
    <row r="59" ht="15" customHeight="1" s="164"/>
    <row r="60" ht="15" customHeight="1" s="164"/>
    <row r="61" ht="15" customHeight="1" s="164"/>
    <row r="62" ht="15" customHeight="1" s="164"/>
    <row r="63" ht="15" customHeight="1" s="164"/>
    <row r="64" ht="15" customHeight="1" s="164"/>
    <row r="65" ht="15" customHeight="1" s="164"/>
    <row r="66" ht="15" customHeight="1" s="164"/>
    <row r="67" ht="15" customHeight="1" s="164"/>
    <row r="68" ht="15" customHeight="1" s="164"/>
    <row r="69" ht="15" customHeight="1" s="164"/>
    <row r="70" ht="15" customHeight="1" s="164"/>
    <row r="71" ht="15" customHeight="1" s="164"/>
    <row r="72" ht="15" customHeight="1" s="164"/>
    <row r="73" ht="15" customHeight="1" s="164"/>
    <row r="74" ht="15" customHeight="1" s="164"/>
    <row r="75" ht="15" customHeight="1" s="164"/>
    <row r="76" ht="15" customHeight="1" s="164"/>
    <row r="77" ht="15" customHeight="1" s="164"/>
    <row r="78" ht="15" customHeight="1" s="164"/>
    <row r="79" ht="15" customHeight="1" s="164"/>
    <row r="80" ht="15" customHeight="1" s="164"/>
    <row r="81" ht="15" customHeight="1" s="164"/>
    <row r="82" ht="15" customHeight="1" s="164"/>
    <row r="83" ht="15" customHeight="1" s="164"/>
    <row r="84" ht="15" customHeight="1" s="164"/>
    <row r="85" ht="15" customHeight="1" s="164"/>
    <row r="86" ht="15" customHeight="1" s="164"/>
    <row r="87" ht="15" customHeight="1" s="164"/>
    <row r="88" ht="15" customHeight="1" s="164"/>
    <row r="89" ht="15" customHeight="1" s="164"/>
    <row r="90" ht="15" customHeight="1" s="164"/>
    <row r="91" ht="15" customHeight="1" s="164"/>
    <row r="92" ht="15" customHeight="1" s="164"/>
    <row r="93" ht="15" customHeight="1" s="164"/>
    <row r="94" ht="15" customHeight="1" s="164"/>
    <row r="95" ht="15" customHeight="1" s="164"/>
    <row r="96" ht="15" customHeight="1" s="164"/>
    <row r="97" ht="15" customHeight="1" s="164"/>
    <row r="98" ht="15" customHeight="1" s="164"/>
    <row r="99" ht="15" customHeight="1" s="164"/>
    <row r="100" ht="15" customHeight="1" s="164"/>
    <row r="101" ht="15" customHeight="1" s="164"/>
    <row r="102" ht="15" customHeight="1" s="164"/>
    <row r="103" ht="15" customHeight="1" s="164"/>
    <row r="104" ht="15" customHeight="1" s="164"/>
    <row r="105" ht="15" customHeight="1" s="164"/>
    <row r="106" ht="15" customHeight="1" s="164"/>
    <row r="107" ht="15" customHeight="1" s="164"/>
    <row r="108" ht="15" customHeight="1" s="164"/>
    <row r="109" ht="15" customHeight="1" s="164"/>
    <row r="110" ht="15" customHeight="1" s="164"/>
    <row r="111" ht="15" customHeight="1" s="164"/>
    <row r="112" ht="15" customHeight="1" s="164"/>
    <row r="113" ht="15" customHeight="1" s="164"/>
    <row r="114" ht="15" customHeight="1" s="164"/>
    <row r="115" ht="15" customHeight="1" s="164"/>
    <row r="116" ht="15" customHeight="1" s="164"/>
    <row r="117" ht="15" customHeight="1" s="164"/>
    <row r="118" ht="15" customHeight="1" s="164"/>
    <row r="119" ht="15" customHeight="1" s="164"/>
    <row r="120" ht="15" customHeight="1" s="164"/>
    <row r="121" ht="15" customHeight="1" s="164"/>
    <row r="122" ht="15" customHeight="1" s="164"/>
    <row r="123" ht="15" customHeight="1" s="164"/>
    <row r="124" ht="15" customHeight="1" s="164"/>
    <row r="125" ht="15" customHeight="1" s="164"/>
    <row r="126" ht="15" customHeight="1" s="164"/>
    <row r="127" ht="15" customHeight="1" s="164"/>
    <row r="128" ht="15" customHeight="1" s="164"/>
    <row r="129" ht="15" customHeight="1" s="164"/>
    <row r="130" ht="15" customHeight="1" s="164"/>
    <row r="131" ht="15" customHeight="1" s="164"/>
    <row r="132" ht="15" customHeight="1" s="164"/>
    <row r="133" ht="15" customHeight="1" s="164"/>
    <row r="134" ht="15" customHeight="1" s="164"/>
    <row r="135" ht="15" customHeight="1" s="164"/>
    <row r="136" ht="15" customHeight="1" s="164"/>
    <row r="137" ht="15" customHeight="1" s="164"/>
    <row r="138" ht="15" customHeight="1" s="164"/>
    <row r="139" ht="15" customHeight="1" s="164"/>
    <row r="140" ht="15" customHeight="1" s="164"/>
    <row r="141" ht="15" customHeight="1" s="164"/>
    <row r="142" ht="15" customHeight="1" s="164"/>
    <row r="143" ht="15" customHeight="1" s="164"/>
    <row r="144" ht="15" customHeight="1" s="164"/>
    <row r="145" ht="15" customHeight="1" s="164"/>
    <row r="146" ht="15" customHeight="1" s="164"/>
    <row r="147" ht="15" customHeight="1" s="164"/>
    <row r="148" ht="15" customHeight="1" s="164"/>
    <row r="149" ht="15" customHeight="1" s="164"/>
    <row r="150" ht="15" customHeight="1" s="164"/>
    <row r="151" ht="15" customHeight="1" s="164"/>
    <row r="152" ht="15" customHeight="1" s="164"/>
    <row r="153" ht="15" customHeight="1" s="164"/>
    <row r="154" ht="15" customHeight="1" s="164"/>
    <row r="155" ht="15" customHeight="1" s="164"/>
    <row r="156" ht="15" customHeight="1" s="164"/>
    <row r="157" ht="15" customHeight="1" s="164"/>
    <row r="158" ht="15" customHeight="1" s="164"/>
    <row r="159" ht="15" customHeight="1" s="164"/>
    <row r="160" ht="15" customHeight="1" s="164"/>
    <row r="161" ht="15" customHeight="1" s="164"/>
    <row r="162" ht="15" customHeight="1" s="164"/>
    <row r="163" ht="15" customHeight="1" s="164"/>
    <row r="164" ht="15" customHeight="1" s="164"/>
    <row r="165" ht="15" customHeight="1" s="164"/>
    <row r="166" ht="15" customHeight="1" s="164"/>
    <row r="167" ht="15" customHeight="1" s="164"/>
    <row r="168" ht="15" customHeight="1" s="164"/>
    <row r="169" ht="15" customHeight="1" s="164"/>
    <row r="170" ht="15" customHeight="1" s="164"/>
    <row r="171" ht="15" customHeight="1" s="164"/>
    <row r="172" ht="15" customHeight="1" s="164"/>
    <row r="173" ht="15" customHeight="1" s="164"/>
    <row r="174" ht="15" customHeight="1" s="164"/>
    <row r="175" ht="15" customHeight="1" s="164"/>
    <row r="176" ht="15" customHeight="1" s="164"/>
    <row r="177" ht="15" customHeight="1" s="164"/>
    <row r="178" ht="15" customHeight="1" s="164"/>
    <row r="179" ht="15" customHeight="1" s="164"/>
    <row r="180" ht="15" customHeight="1" s="164"/>
    <row r="181" ht="15" customHeight="1" s="164"/>
    <row r="182" ht="15" customHeight="1" s="164"/>
    <row r="183" ht="15" customHeight="1" s="164"/>
    <row r="184" ht="15" customHeight="1" s="164"/>
    <row r="185" ht="15" customHeight="1" s="164"/>
    <row r="186" ht="15" customHeight="1" s="164"/>
    <row r="187" ht="15" customHeight="1" s="164"/>
    <row r="188" ht="15" customHeight="1" s="164"/>
    <row r="189" ht="15" customHeight="1" s="164"/>
    <row r="190" ht="15" customHeight="1" s="164"/>
    <row r="191" ht="15" customHeight="1" s="164"/>
    <row r="192" ht="15" customHeight="1" s="164"/>
    <row r="193" ht="15" customHeight="1" s="164"/>
    <row r="194" ht="15" customHeight="1" s="164"/>
    <row r="195" ht="15" customHeight="1" s="164"/>
    <row r="196" ht="15" customHeight="1" s="164"/>
    <row r="197" ht="15" customHeight="1" s="164"/>
    <row r="198" ht="15" customHeight="1" s="164"/>
    <row r="199" ht="15" customHeight="1" s="164"/>
    <row r="200" ht="15" customHeight="1" s="164"/>
    <row r="201" ht="15" customHeight="1" s="164"/>
    <row r="202" ht="15" customHeight="1" s="164"/>
    <row r="203" ht="15" customHeight="1" s="164"/>
    <row r="204" ht="15" customHeight="1" s="164"/>
    <row r="205" ht="15" customHeight="1" s="164"/>
    <row r="206" ht="15" customHeight="1" s="164"/>
    <row r="207" ht="15" customHeight="1" s="164"/>
    <row r="208" ht="15" customHeight="1" s="164"/>
    <row r="209" ht="15" customHeight="1" s="164"/>
    <row r="210" ht="15" customHeight="1" s="164"/>
    <row r="211" ht="15" customHeight="1" s="164"/>
    <row r="212" ht="15" customHeight="1" s="164"/>
    <row r="213" ht="15" customHeight="1" s="164"/>
    <row r="214" ht="15" customHeight="1" s="164"/>
    <row r="215" ht="15" customHeight="1" s="164"/>
    <row r="216" ht="15" customHeight="1" s="164"/>
    <row r="217" ht="15" customHeight="1" s="164"/>
    <row r="218" ht="15" customHeight="1" s="164"/>
    <row r="219" ht="15" customHeight="1" s="164"/>
    <row r="220" ht="15" customHeight="1" s="164"/>
    <row r="221" ht="15" customHeight="1" s="164"/>
    <row r="222" ht="15" customHeight="1" s="164"/>
    <row r="223" ht="15" customHeight="1" s="164"/>
    <row r="224" ht="1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23">
    <mergeCell ref="F20:H20"/>
    <mergeCell ref="F5:H5"/>
    <mergeCell ref="F18:H18"/>
    <mergeCell ref="D1:E1"/>
    <mergeCell ref="H1:I1"/>
    <mergeCell ref="J1:K1"/>
    <mergeCell ref="P1:Q1"/>
    <mergeCell ref="F17:H17"/>
    <mergeCell ref="F23:H23"/>
    <mergeCell ref="AB1:AC1"/>
    <mergeCell ref="V1:W1"/>
    <mergeCell ref="B1:C1"/>
    <mergeCell ref="N1:O1"/>
    <mergeCell ref="B2:D3"/>
    <mergeCell ref="T1:U1"/>
    <mergeCell ref="L1:M1"/>
    <mergeCell ref="F16:H16"/>
    <mergeCell ref="X1:Y1"/>
    <mergeCell ref="Z1:AA1"/>
    <mergeCell ref="F21:H21"/>
    <mergeCell ref="F1:G1"/>
    <mergeCell ref="R1:S1"/>
    <mergeCell ref="F24:H24"/>
  </mergeCells>
  <conditionalFormatting sqref="F6:H11">
    <cfRule type="expression" rank="0" priority="2" equalAverage="0" aboveAverage="0" dxfId="0" text="" percent="0" bottom="0">
      <formula>$F6="☑"</formula>
    </cfRule>
  </conditionalFormatting>
  <dataValidations count="1">
    <dataValidation sqref="F6:F11" showDropDown="0" showInputMessage="0" showErrorMessage="0" allowBlank="1" type="list" errorStyle="stop" operator="between">
      <formula1>"☐,☑"</formula1>
      <formula2>0</formula2>
    </dataValidation>
  </dataValidation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B1:AC2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13.57" customWidth="1" style="163" min="2" max="2"/>
    <col width="15.57" customWidth="1" style="163" min="3" max="3"/>
    <col width="11.57" customWidth="1" style="163" min="4" max="4"/>
    <col width="9.140000000000001" customWidth="1" style="163" min="5" max="5"/>
    <col width="11" customWidth="1" style="163" min="6" max="6"/>
    <col width="13" customWidth="1" style="163" min="7" max="7"/>
    <col width="9.43" customWidth="1" style="163" min="8" max="8"/>
    <col width="16" customWidth="1" style="163" min="9" max="9"/>
    <col width="35.14" customWidth="1" style="163" min="10" max="10"/>
    <col width="20" customWidth="1" style="163" min="11" max="11"/>
    <col width="34.29" customWidth="1" style="163" min="12" max="12"/>
    <col width="8.710000000000001" customWidth="1" style="163" min="13" max="13"/>
    <col width="9.140000000000001" customWidth="1" style="163" min="14" max="14"/>
    <col width="8.710000000000001" customWidth="1" style="163" min="15" max="15"/>
    <col width="7.57" customWidth="1" style="163" min="16" max="16"/>
    <col width="8.710000000000001" customWidth="1" style="163" min="17" max="17"/>
    <col width="11" customWidth="1" style="163" min="18" max="18"/>
    <col width="8.710000000000001" customWidth="1" style="163" min="19" max="19"/>
    <col width="8.15" customWidth="1" style="163" min="20" max="20"/>
    <col width="8.710000000000001" customWidth="1" style="163" min="21" max="21"/>
    <col width="5.71" customWidth="1" style="163" min="22" max="22"/>
    <col width="8.710000000000001" customWidth="1" style="163" min="23" max="23"/>
    <col width="10.14" customWidth="1" style="163" min="24" max="24"/>
    <col width="8.710000000000001" customWidth="1" style="163" min="25" max="25"/>
    <col width="7.71" customWidth="1" style="163" min="26" max="26"/>
    <col width="8.710000000000001" customWidth="1" style="163" min="27" max="27"/>
    <col width="9.289999999999999" customWidth="1" style="163" min="28" max="28"/>
    <col width="8.710000000000001" customWidth="1" style="163" min="29" max="29"/>
  </cols>
  <sheetData>
    <row r="1" ht="1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5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SUIVI HEBDOMADAIRE DES CANDIDATURES</t>
        </is>
      </c>
    </row>
    <row r="3" ht="15" customHeight="1" s="164"/>
    <row r="4" ht="15" customHeight="1" s="164"/>
    <row r="5" ht="23.25" customHeight="1" s="164">
      <c r="B5" s="247" t="inlineStr">
        <is>
          <t>Semaine</t>
        </is>
      </c>
      <c r="C5" s="247" t="inlineStr">
        <is>
          <t>Début de semaine</t>
        </is>
      </c>
      <c r="D5" s="247" t="inlineStr">
        <is>
          <t>Candidatures</t>
        </is>
      </c>
      <c r="E5" s="247" t="inlineStr">
        <is>
          <t>Entretiens</t>
        </is>
      </c>
      <c r="F5" s="247" t="inlineStr">
        <is>
          <t>Refus</t>
        </is>
      </c>
      <c r="G5" s="184" t="inlineStr">
        <is>
          <t>Moy. mobile (3 sem.)</t>
        </is>
      </c>
      <c r="H5" s="184" t="inlineStr">
        <is>
          <t>Cumul</t>
        </is>
      </c>
      <c r="I5" s="248" t="inlineStr">
        <is>
          <t>Tendance</t>
        </is>
      </c>
    </row>
    <row r="6" ht="15" customHeight="1" s="164">
      <c r="B6" s="228" t="inlineStr">
        <is>
          <t>S1</t>
        </is>
      </c>
      <c r="C6" s="249">
        <f>IFERROR(MIN(Applications!$F$6:$F$200)-WEEKDAY(MIN(Applications!$F$6:$F$200),3),TODAY())</f>
        <v/>
      </c>
      <c r="D6" s="228">
        <f>COUNTIFS(Applications!$F$6:$F$200,"&gt;="&amp;$C6,Applications!$F$6:$F$200,"&lt;"&amp;$C6+7)</f>
        <v/>
      </c>
      <c r="E6" s="228">
        <f>COUNTIFS(Applications!$F$6:$F$200,"&gt;="&amp;$C6,Applications!$F$6:$F$200,"&lt;"&amp;$C6+7,Applications!$G$6:$G$200,"Entretien")</f>
        <v/>
      </c>
      <c r="F6" s="228">
        <f>COUNTIFS(Applications!$F$6:$F$200,"&gt;="&amp;$C6,Applications!$F$6:$F$200,"&lt;"&amp;$C6+7,Applications!$G$6:$G$200,"Refusé")</f>
        <v/>
      </c>
      <c r="G6" s="250">
        <f>AVERAGE(D6)</f>
        <v/>
      </c>
      <c r="H6" s="196">
        <f>SUM($D$6:D6)</f>
        <v/>
      </c>
      <c r="I6" s="251">
        <f>REPT("▮",ROUND(D6/2,0))</f>
        <v/>
      </c>
    </row>
    <row r="7" ht="15" customHeight="1" s="164">
      <c r="B7" s="228" t="inlineStr">
        <is>
          <t>S2</t>
        </is>
      </c>
      <c r="C7" s="249">
        <f>C6+7</f>
        <v/>
      </c>
      <c r="D7" s="228">
        <f>COUNTIFS(Applications!$F$6:$F$200,"&gt;="&amp;$C7,Applications!$F$6:$F$200,"&lt;"&amp;$C7+7)</f>
        <v/>
      </c>
      <c r="E7" s="228">
        <f>COUNTIFS(Applications!$F$6:$F$200,"&gt;="&amp;$C7,Applications!$F$6:$F$200,"&lt;"&amp;$C7+7,Applications!$G$6:$G$200,"Entretien")</f>
        <v/>
      </c>
      <c r="F7" s="228">
        <f>COUNTIFS(Applications!$F$6:$F$200,"&gt;="&amp;$C7,Applications!$F$6:$F$200,"&lt;"&amp;$C7+7,Applications!$G$6:$G$200,"Refusé")</f>
        <v/>
      </c>
      <c r="G7" s="250">
        <f>AVERAGE(D6:D7)</f>
        <v/>
      </c>
      <c r="H7" s="196">
        <f>SUM($D$6:D7)</f>
        <v/>
      </c>
      <c r="I7" s="251">
        <f>REPT("▮",ROUND(D7/2,0))</f>
        <v/>
      </c>
    </row>
    <row r="8" ht="15" customHeight="1" s="164">
      <c r="B8" s="228" t="inlineStr">
        <is>
          <t>S3</t>
        </is>
      </c>
      <c r="C8" s="249">
        <f>C7+7</f>
        <v/>
      </c>
      <c r="D8" s="228">
        <f>COUNTIFS(Applications!$F$6:$F$200,"&gt;="&amp;$C8,Applications!$F$6:$F$200,"&lt;"&amp;$C8+7)</f>
        <v/>
      </c>
      <c r="E8" s="228">
        <f>COUNTIFS(Applications!$F$6:$F$200,"&gt;="&amp;$C8,Applications!$F$6:$F$200,"&lt;"&amp;$C8+7,Applications!$G$6:$G$200,"Entretien")</f>
        <v/>
      </c>
      <c r="F8" s="228">
        <f>COUNTIFS(Applications!$F$6:$F$200,"&gt;="&amp;$C8,Applications!$F$6:$F$200,"&lt;"&amp;$C8+7,Applications!$G$6:$G$200,"Refusé")</f>
        <v/>
      </c>
      <c r="G8" s="250">
        <f>AVERAGE(D6:D8)</f>
        <v/>
      </c>
      <c r="H8" s="196">
        <f>SUM($D$6:D8)</f>
        <v/>
      </c>
      <c r="I8" s="251">
        <f>REPT("▮",ROUND(D8/2,0))</f>
        <v/>
      </c>
    </row>
    <row r="9" ht="15" customHeight="1" s="164">
      <c r="B9" s="228" t="inlineStr">
        <is>
          <t>S4</t>
        </is>
      </c>
      <c r="C9" s="249">
        <f>C8+7</f>
        <v/>
      </c>
      <c r="D9" s="228">
        <f>COUNTIFS(Applications!$F$6:$F$200,"&gt;="&amp;$C9,Applications!$F$6:$F$200,"&lt;"&amp;$C9+7)</f>
        <v/>
      </c>
      <c r="E9" s="228">
        <f>COUNTIFS(Applications!$F$6:$F$200,"&gt;="&amp;$C9,Applications!$F$6:$F$200,"&lt;"&amp;$C9+7,Applications!$G$6:$G$200,"Entretien")</f>
        <v/>
      </c>
      <c r="F9" s="228">
        <f>COUNTIFS(Applications!$F$6:$F$200,"&gt;="&amp;$C9,Applications!$F$6:$F$200,"&lt;"&amp;$C9+7,Applications!$G$6:$G$200,"Refusé")</f>
        <v/>
      </c>
      <c r="G9" s="250">
        <f>AVERAGE(D7:D9)</f>
        <v/>
      </c>
      <c r="H9" s="196">
        <f>SUM($D$6:D9)</f>
        <v/>
      </c>
      <c r="I9" s="251">
        <f>REPT("▮",ROUND(D9/2,0))</f>
        <v/>
      </c>
    </row>
    <row r="10" ht="15" customHeight="1" s="164">
      <c r="B10" s="228" t="inlineStr">
        <is>
          <t>S5</t>
        </is>
      </c>
      <c r="C10" s="249">
        <f>C9+7</f>
        <v/>
      </c>
      <c r="D10" s="228">
        <f>COUNTIFS(Applications!$F$6:$F$200,"&gt;="&amp;$C10,Applications!$F$6:$F$200,"&lt;"&amp;$C10+7)</f>
        <v/>
      </c>
      <c r="E10" s="228">
        <f>COUNTIFS(Applications!$F$6:$F$200,"&gt;="&amp;$C10,Applications!$F$6:$F$200,"&lt;"&amp;$C10+7,Applications!$G$6:$G$200,"Entretien")</f>
        <v/>
      </c>
      <c r="F10" s="228">
        <f>COUNTIFS(Applications!$F$6:$F$200,"&gt;="&amp;$C10,Applications!$F$6:$F$200,"&lt;"&amp;$C10+7,Applications!$G$6:$G$200,"Refusé")</f>
        <v/>
      </c>
      <c r="G10" s="250">
        <f>AVERAGE(D8:D10)</f>
        <v/>
      </c>
      <c r="H10" s="196">
        <f>SUM($D$6:D10)</f>
        <v/>
      </c>
      <c r="I10" s="251">
        <f>REPT("▮",ROUND(D10/2,0))</f>
        <v/>
      </c>
    </row>
    <row r="11" ht="15" customHeight="1" s="164">
      <c r="B11" s="228" t="inlineStr">
        <is>
          <t>S6</t>
        </is>
      </c>
      <c r="C11" s="249">
        <f>C10+7</f>
        <v/>
      </c>
      <c r="D11" s="228">
        <f>COUNTIFS(Applications!$F$6:$F$200,"&gt;="&amp;$C11,Applications!$F$6:$F$200,"&lt;"&amp;$C11+7)</f>
        <v/>
      </c>
      <c r="E11" s="228">
        <f>COUNTIFS(Applications!$F$6:$F$200,"&gt;="&amp;$C11,Applications!$F$6:$F$200,"&lt;"&amp;$C11+7,Applications!$G$6:$G$200,"Entretien")</f>
        <v/>
      </c>
      <c r="F11" s="228">
        <f>COUNTIFS(Applications!$F$6:$F$200,"&gt;="&amp;$C11,Applications!$F$6:$F$200,"&lt;"&amp;$C11+7,Applications!$G$6:$G$200,"Refusé")</f>
        <v/>
      </c>
      <c r="G11" s="250">
        <f>AVERAGE(D9:D11)</f>
        <v/>
      </c>
      <c r="H11" s="196">
        <f>SUM($D$6:D11)</f>
        <v/>
      </c>
      <c r="I11" s="251">
        <f>REPT("▮",ROUND(D11/2,0))</f>
        <v/>
      </c>
    </row>
    <row r="12" ht="15" customHeight="1" s="164">
      <c r="B12" s="228" t="inlineStr">
        <is>
          <t>S7</t>
        </is>
      </c>
      <c r="C12" s="249">
        <f>C11+7</f>
        <v/>
      </c>
      <c r="D12" s="228">
        <f>COUNTIFS(Applications!$F$6:$F$200,"&gt;="&amp;$C12,Applications!$F$6:$F$200,"&lt;"&amp;$C12+7)</f>
        <v/>
      </c>
      <c r="E12" s="228">
        <f>COUNTIFS(Applications!$F$6:$F$200,"&gt;="&amp;$C12,Applications!$F$6:$F$200,"&lt;"&amp;$C12+7,Applications!$G$6:$G$200,"Entretien")</f>
        <v/>
      </c>
      <c r="F12" s="228">
        <f>COUNTIFS(Applications!$F$6:$F$200,"&gt;="&amp;$C12,Applications!$F$6:$F$200,"&lt;"&amp;$C12+7,Applications!$G$6:$G$200,"Refusé")</f>
        <v/>
      </c>
      <c r="G12" s="250">
        <f>AVERAGE(D10:D12)</f>
        <v/>
      </c>
      <c r="H12" s="196">
        <f>SUM($D$6:D12)</f>
        <v/>
      </c>
      <c r="I12" s="251">
        <f>REPT("▮",ROUND(D12/2,0))</f>
        <v/>
      </c>
    </row>
    <row r="13" ht="15" customHeight="1" s="164">
      <c r="B13" s="228" t="inlineStr">
        <is>
          <t>S8</t>
        </is>
      </c>
      <c r="C13" s="249">
        <f>C12+7</f>
        <v/>
      </c>
      <c r="D13" s="228">
        <f>COUNTIFS(Applications!$F$6:$F$200,"&gt;="&amp;$C13,Applications!$F$6:$F$200,"&lt;"&amp;$C13+7)</f>
        <v/>
      </c>
      <c r="E13" s="228">
        <f>COUNTIFS(Applications!$F$6:$F$200,"&gt;="&amp;$C13,Applications!$F$6:$F$200,"&lt;"&amp;$C13+7,Applications!$G$6:$G$200,"Entretien")</f>
        <v/>
      </c>
      <c r="F13" s="228">
        <f>COUNTIFS(Applications!$F$6:$F$200,"&gt;="&amp;$C13,Applications!$F$6:$F$200,"&lt;"&amp;$C13+7,Applications!$G$6:$G$200,"Refusé")</f>
        <v/>
      </c>
      <c r="G13" s="250">
        <f>AVERAGE(D11:D13)</f>
        <v/>
      </c>
      <c r="H13" s="196">
        <f>SUM($D$6:D13)</f>
        <v/>
      </c>
      <c r="I13" s="251">
        <f>REPT("▮",ROUND(D13/2,0))</f>
        <v/>
      </c>
    </row>
    <row r="14" ht="15" customHeight="1" s="164">
      <c r="B14" s="228" t="inlineStr">
        <is>
          <t>S9</t>
        </is>
      </c>
      <c r="C14" s="249">
        <f>C13+7</f>
        <v/>
      </c>
      <c r="D14" s="228">
        <f>COUNTIFS(Applications!$F$6:$F$200,"&gt;="&amp;$C14,Applications!$F$6:$F$200,"&lt;"&amp;$C14+7)</f>
        <v/>
      </c>
      <c r="E14" s="228">
        <f>COUNTIFS(Applications!$F$6:$F$200,"&gt;="&amp;$C14,Applications!$F$6:$F$200,"&lt;"&amp;$C14+7,Applications!$G$6:$G$200,"Entretien")</f>
        <v/>
      </c>
      <c r="F14" s="228">
        <f>COUNTIFS(Applications!$F$6:$F$200,"&gt;="&amp;$C14,Applications!$F$6:$F$200,"&lt;"&amp;$C14+7,Applications!$G$6:$G$200,"Refusé")</f>
        <v/>
      </c>
      <c r="G14" s="250">
        <f>AVERAGE(D12:D14)</f>
        <v/>
      </c>
      <c r="H14" s="196">
        <f>SUM($D$6:D14)</f>
        <v/>
      </c>
      <c r="I14" s="251">
        <f>REPT("▮",ROUND(D14/2,0))</f>
        <v/>
      </c>
    </row>
    <row r="15" ht="15" customHeight="1" s="164">
      <c r="B15" s="228" t="inlineStr">
        <is>
          <t>S10</t>
        </is>
      </c>
      <c r="C15" s="249">
        <f>C14+7</f>
        <v/>
      </c>
      <c r="D15" s="228">
        <f>COUNTIFS(Applications!$F$6:$F$200,"&gt;="&amp;$C15,Applications!$F$6:$F$200,"&lt;"&amp;$C15+7)</f>
        <v/>
      </c>
      <c r="E15" s="228">
        <f>COUNTIFS(Applications!$F$6:$F$200,"&gt;="&amp;$C15,Applications!$F$6:$F$200,"&lt;"&amp;$C15+7,Applications!$G$6:$G$200,"Entretien")</f>
        <v/>
      </c>
      <c r="F15" s="228">
        <f>COUNTIFS(Applications!$F$6:$F$200,"&gt;="&amp;$C15,Applications!$F$6:$F$200,"&lt;"&amp;$C15+7,Applications!$G$6:$G$200,"Refusé")</f>
        <v/>
      </c>
      <c r="G15" s="250">
        <f>AVERAGE(D13:D15)</f>
        <v/>
      </c>
      <c r="H15" s="196">
        <f>SUM($D$6:D15)</f>
        <v/>
      </c>
      <c r="I15" s="251">
        <f>REPT("▮",ROUND(D15/2,0))</f>
        <v/>
      </c>
    </row>
    <row r="16" ht="15" customHeight="1" s="164">
      <c r="B16" s="228" t="inlineStr">
        <is>
          <t>S11</t>
        </is>
      </c>
      <c r="C16" s="249">
        <f>C15+7</f>
        <v/>
      </c>
      <c r="D16" s="228">
        <f>COUNTIFS(Applications!$F$6:$F$200,"&gt;="&amp;$C16,Applications!$F$6:$F$200,"&lt;"&amp;$C16+7)</f>
        <v/>
      </c>
      <c r="E16" s="228">
        <f>COUNTIFS(Applications!$F$6:$F$200,"&gt;="&amp;$C16,Applications!$F$6:$F$200,"&lt;"&amp;$C16+7,Applications!$G$6:$G$200,"Entretien")</f>
        <v/>
      </c>
      <c r="F16" s="228">
        <f>COUNTIFS(Applications!$F$6:$F$200,"&gt;="&amp;$C16,Applications!$F$6:$F$200,"&lt;"&amp;$C16+7,Applications!$G$6:$G$200,"Refusé")</f>
        <v/>
      </c>
      <c r="G16" s="250">
        <f>AVERAGE(D14:D16)</f>
        <v/>
      </c>
      <c r="H16" s="196">
        <f>SUM($D$6:D16)</f>
        <v/>
      </c>
      <c r="I16" s="251">
        <f>REPT("▮",ROUND(D16/2,0))</f>
        <v/>
      </c>
    </row>
    <row r="17" ht="15" customHeight="1" s="164">
      <c r="B17" s="228" t="inlineStr">
        <is>
          <t>S12</t>
        </is>
      </c>
      <c r="C17" s="249">
        <f>C16+7</f>
        <v/>
      </c>
      <c r="D17" s="228">
        <f>COUNTIFS(Applications!$F$6:$F$200,"&gt;="&amp;$C17,Applications!$F$6:$F$200,"&lt;"&amp;$C17+7)</f>
        <v/>
      </c>
      <c r="E17" s="228">
        <f>COUNTIFS(Applications!$F$6:$F$200,"&gt;="&amp;$C17,Applications!$F$6:$F$200,"&lt;"&amp;$C17+7,Applications!$G$6:$G$200,"Entretien")</f>
        <v/>
      </c>
      <c r="F17" s="228">
        <f>COUNTIFS(Applications!$F$6:$F$200,"&gt;="&amp;$C17,Applications!$F$6:$F$200,"&lt;"&amp;$C17+7,Applications!$G$6:$G$200,"Refusé")</f>
        <v/>
      </c>
      <c r="G17" s="250">
        <f>AVERAGE(D15:D17)</f>
        <v/>
      </c>
      <c r="H17" s="196">
        <f>SUM($D$6:D17)</f>
        <v/>
      </c>
      <c r="I17" s="251">
        <f>REPT("▮",ROUND(D17/2,0))</f>
        <v/>
      </c>
    </row>
    <row r="18" ht="15" customHeight="1" s="164"/>
    <row r="19" ht="15" customHeight="1" s="164"/>
    <row r="20" ht="15" customHeight="1" s="164">
      <c r="J20" s="198" t="inlineStr">
        <is>
          <t>PRÉVISION (RÉGRESSION LINÉAIRE)</t>
        </is>
      </c>
    </row>
    <row r="21" ht="15" customHeight="1" s="164">
      <c r="J21" s="169">
        <f>COUNTIF(C6:C17,"&lt;="&amp;TODAY())</f>
        <v/>
      </c>
    </row>
    <row r="22" ht="15" customHeight="1" s="164">
      <c r="J22" s="195" t="inlineStr">
        <is>
          <t>Candidatures prévues — semaine prochaine</t>
        </is>
      </c>
      <c r="L22" s="252">
        <f t="array" ref="L22:L22">IF($J$21&lt;3,"Pas assez de données (3 sem. min.)",IFERROR(ROUND(TREND(OFFSET($D$6,0,0,$J$21,1),OFFSET($C$6,0,0,$J$21,1),$J$21+1),0),"—"))</f>
        <v/>
      </c>
    </row>
    <row r="23" ht="15" customHeight="1" s="164">
      <c r="J23" s="195" t="inlineStr">
        <is>
          <t>Tendance générale</t>
        </is>
      </c>
      <c r="L23" s="252">
        <f>IF($J$21&lt;3,"—",IFERROR(IF(SLOPE(OFFSET($D$6,0,0,$J$21,1),OFFSET($C$6,0,0,$J$21,1))&gt;0.3,"📈 En hausse",IF(SLOPE(OFFSET($D$6,0,0,$J$21,1),OFFSET($C$6,0,0,$J$21,1))&lt;-0.3,"📉 En baisse","➡ Stable")),"—"))</f>
        <v/>
      </c>
    </row>
    <row r="24" ht="15" customHeight="1" s="164"/>
    <row r="25" ht="15" customHeight="1" s="164"/>
    <row r="26" ht="15" customHeight="1" s="164"/>
    <row r="27" ht="15" customHeight="1" s="164"/>
    <row r="28" ht="15" customHeight="1" s="164"/>
    <row r="29" ht="15" customHeight="1" s="164"/>
    <row r="30" ht="15" customHeight="1" s="164"/>
    <row r="31" ht="15" customHeight="1" s="164"/>
    <row r="32" ht="15" customHeight="1" s="164"/>
    <row r="33" ht="15" customHeight="1" s="164"/>
    <row r="34" ht="15" customHeight="1" s="164"/>
    <row r="35" ht="15" customHeight="1" s="164"/>
    <row r="36" ht="15" customHeight="1" s="164"/>
    <row r="37" ht="15" customHeight="1" s="164"/>
    <row r="38" ht="15" customHeight="1" s="164"/>
    <row r="39" ht="15" customHeight="1" s="164"/>
    <row r="40" ht="15" customHeight="1" s="164"/>
    <row r="41" ht="15" customHeight="1" s="164"/>
    <row r="42" ht="15" customHeight="1" s="164"/>
    <row r="43" ht="15" customHeight="1" s="164"/>
    <row r="44" ht="15" customHeight="1" s="164"/>
    <row r="45" ht="15" customHeight="1" s="164"/>
    <row r="46" ht="15" customHeight="1" s="164"/>
    <row r="47" ht="15" customHeight="1" s="164"/>
    <row r="48" ht="15" customHeight="1" s="164"/>
    <row r="49" ht="15" customHeight="1" s="164"/>
    <row r="50" ht="15" customHeight="1" s="164"/>
    <row r="51" ht="15" customHeight="1" s="164"/>
    <row r="52" ht="15" customHeight="1" s="164"/>
    <row r="53" ht="15" customHeight="1" s="164"/>
    <row r="54" ht="15" customHeight="1" s="164"/>
    <row r="55" ht="15" customHeight="1" s="164"/>
    <row r="56" ht="15" customHeight="1" s="164"/>
    <row r="57" ht="15" customHeight="1" s="164"/>
    <row r="58" ht="15" customHeight="1" s="164"/>
    <row r="59" ht="15" customHeight="1" s="164"/>
    <row r="60" ht="15" customHeight="1" s="164"/>
    <row r="61" ht="15" customHeight="1" s="164"/>
    <row r="62" ht="15" customHeight="1" s="164"/>
    <row r="63" ht="15" customHeight="1" s="164"/>
    <row r="64" ht="15" customHeight="1" s="164"/>
    <row r="65" ht="15" customHeight="1" s="164"/>
    <row r="66" ht="15" customHeight="1" s="164"/>
    <row r="67" ht="15" customHeight="1" s="164"/>
    <row r="68" ht="15" customHeight="1" s="164"/>
    <row r="69" ht="15" customHeight="1" s="164"/>
    <row r="70" ht="15" customHeight="1" s="164"/>
    <row r="71" ht="15" customHeight="1" s="164"/>
    <row r="72" ht="15" customHeight="1" s="164"/>
    <row r="73" ht="15" customHeight="1" s="164"/>
    <row r="74" ht="15" customHeight="1" s="164"/>
    <row r="75" ht="15" customHeight="1" s="164"/>
    <row r="76" ht="15" customHeight="1" s="164"/>
    <row r="77" ht="15" customHeight="1" s="164"/>
    <row r="78" ht="15" customHeight="1" s="164"/>
    <row r="79" ht="15" customHeight="1" s="164"/>
    <row r="80" ht="15" customHeight="1" s="164"/>
    <row r="81" ht="15" customHeight="1" s="164"/>
    <row r="82" ht="15" customHeight="1" s="164"/>
    <row r="83" ht="15" customHeight="1" s="164"/>
    <row r="84" ht="15" customHeight="1" s="164"/>
    <row r="85" ht="15" customHeight="1" s="164"/>
    <row r="86" ht="15" customHeight="1" s="164"/>
    <row r="87" ht="15" customHeight="1" s="164"/>
    <row r="88" ht="15" customHeight="1" s="164"/>
    <row r="89" ht="15" customHeight="1" s="164"/>
    <row r="90" ht="15" customHeight="1" s="164"/>
    <row r="91" ht="15" customHeight="1" s="164"/>
    <row r="92" ht="15" customHeight="1" s="164"/>
    <row r="93" ht="15" customHeight="1" s="164"/>
    <row r="94" ht="15" customHeight="1" s="164"/>
    <row r="95" ht="15" customHeight="1" s="164"/>
    <row r="96" ht="15" customHeight="1" s="164"/>
    <row r="97" ht="15" customHeight="1" s="164"/>
    <row r="98" ht="15" customHeight="1" s="164"/>
    <row r="99" ht="15" customHeight="1" s="164"/>
    <row r="100" ht="15" customHeight="1" s="164"/>
    <row r="101" ht="15" customHeight="1" s="164"/>
    <row r="102" ht="15" customHeight="1" s="164"/>
    <row r="103" ht="15" customHeight="1" s="164"/>
    <row r="104" ht="15" customHeight="1" s="164"/>
    <row r="105" ht="15" customHeight="1" s="164"/>
    <row r="106" ht="15" customHeight="1" s="164"/>
    <row r="107" ht="15" customHeight="1" s="164"/>
    <row r="108" ht="15" customHeight="1" s="164"/>
    <row r="109" ht="15" customHeight="1" s="164"/>
    <row r="110" ht="15" customHeight="1" s="164"/>
    <row r="111" ht="15" customHeight="1" s="164"/>
    <row r="112" ht="15" customHeight="1" s="164"/>
    <row r="113" ht="15" customHeight="1" s="164"/>
    <row r="114" ht="15" customHeight="1" s="164"/>
    <row r="115" ht="15" customHeight="1" s="164"/>
    <row r="116" ht="15" customHeight="1" s="164"/>
    <row r="117" ht="15" customHeight="1" s="164"/>
    <row r="118" ht="15" customHeight="1" s="164"/>
    <row r="119" ht="15" customHeight="1" s="164"/>
    <row r="120" ht="15" customHeight="1" s="164"/>
    <row r="121" ht="15" customHeight="1" s="164"/>
    <row r="122" ht="15" customHeight="1" s="164"/>
    <row r="123" ht="15" customHeight="1" s="164"/>
    <row r="124" ht="15" customHeight="1" s="164"/>
    <row r="125" ht="15" customHeight="1" s="164"/>
    <row r="126" ht="15" customHeight="1" s="164"/>
    <row r="127" ht="15" customHeight="1" s="164"/>
    <row r="128" ht="15" customHeight="1" s="164"/>
    <row r="129" ht="15" customHeight="1" s="164"/>
    <row r="130" ht="15" customHeight="1" s="164"/>
    <row r="131" ht="15" customHeight="1" s="164"/>
    <row r="132" ht="15" customHeight="1" s="164"/>
    <row r="133" ht="15" customHeight="1" s="164"/>
    <row r="134" ht="15" customHeight="1" s="164"/>
    <row r="135" ht="15" customHeight="1" s="164"/>
    <row r="136" ht="15" customHeight="1" s="164"/>
    <row r="137" ht="15" customHeight="1" s="164"/>
    <row r="138" ht="15" customHeight="1" s="164"/>
    <row r="139" ht="15" customHeight="1" s="164"/>
    <row r="140" ht="15" customHeight="1" s="164"/>
    <row r="141" ht="15" customHeight="1" s="164"/>
    <row r="142" ht="15" customHeight="1" s="164"/>
    <row r="143" ht="15" customHeight="1" s="164"/>
    <row r="144" ht="15" customHeight="1" s="164"/>
    <row r="145" ht="15" customHeight="1" s="164"/>
    <row r="146" ht="15" customHeight="1" s="164"/>
    <row r="147" ht="15" customHeight="1" s="164"/>
    <row r="148" ht="15" customHeight="1" s="164"/>
    <row r="149" ht="15" customHeight="1" s="164"/>
    <row r="150" ht="15" customHeight="1" s="164"/>
    <row r="151" ht="15" customHeight="1" s="164"/>
    <row r="152" ht="15" customHeight="1" s="164"/>
    <row r="153" ht="15" customHeight="1" s="164"/>
    <row r="154" ht="15" customHeight="1" s="164"/>
    <row r="155" ht="15" customHeight="1" s="164"/>
    <row r="156" ht="15" customHeight="1" s="164"/>
    <row r="157" ht="15" customHeight="1" s="164"/>
    <row r="158" ht="15" customHeight="1" s="164"/>
    <row r="159" ht="15" customHeight="1" s="164"/>
    <row r="160" ht="15" customHeight="1" s="164"/>
    <row r="161" ht="15" customHeight="1" s="164"/>
    <row r="162" ht="15" customHeight="1" s="164"/>
    <row r="163" ht="15" customHeight="1" s="164"/>
    <row r="164" ht="15" customHeight="1" s="164"/>
    <row r="165" ht="15" customHeight="1" s="164"/>
    <row r="166" ht="15" customHeight="1" s="164"/>
    <row r="167" ht="15" customHeight="1" s="164"/>
    <row r="168" ht="15" customHeight="1" s="164"/>
    <row r="169" ht="15" customHeight="1" s="164"/>
    <row r="170" ht="15" customHeight="1" s="164"/>
    <row r="171" ht="15" customHeight="1" s="164"/>
    <row r="172" ht="15" customHeight="1" s="164"/>
    <row r="173" ht="15" customHeight="1" s="164"/>
    <row r="174" ht="15" customHeight="1" s="164"/>
    <row r="175" ht="15" customHeight="1" s="164"/>
    <row r="176" ht="15" customHeight="1" s="164"/>
    <row r="177" ht="15" customHeight="1" s="164"/>
    <row r="178" ht="15" customHeight="1" s="164"/>
    <row r="179" ht="15" customHeight="1" s="164"/>
    <row r="180" ht="15" customHeight="1" s="164"/>
    <row r="181" ht="15" customHeight="1" s="164"/>
    <row r="182" ht="15" customHeight="1" s="164"/>
    <row r="183" ht="15" customHeight="1" s="164"/>
    <row r="184" ht="15" customHeight="1" s="164"/>
    <row r="185" ht="15" customHeight="1" s="164"/>
    <row r="186" ht="15" customHeight="1" s="164"/>
    <row r="187" ht="15" customHeight="1" s="164"/>
    <row r="188" ht="15" customHeight="1" s="164"/>
    <row r="189" ht="15" customHeight="1" s="164"/>
    <row r="190" ht="15" customHeight="1" s="164"/>
    <row r="191" ht="15" customHeight="1" s="164"/>
    <row r="192" ht="15" customHeight="1" s="164"/>
    <row r="193" ht="15" customHeight="1" s="164"/>
    <row r="194" ht="15" customHeight="1" s="164"/>
    <row r="195" ht="15" customHeight="1" s="164"/>
    <row r="196" ht="15" customHeight="1" s="164"/>
    <row r="197" ht="15" customHeight="1" s="164"/>
    <row r="198" ht="15" customHeight="1" s="164"/>
    <row r="199" ht="15" customHeight="1" s="164"/>
    <row r="200" ht="15" customHeight="1" s="164"/>
    <row r="201" ht="15" customHeight="1" s="164"/>
    <row r="202" ht="15" customHeight="1" s="164"/>
    <row r="203" ht="15" customHeight="1" s="164"/>
    <row r="204" ht="15" customHeight="1" s="164"/>
    <row r="205" ht="15" customHeight="1" s="164"/>
    <row r="206" ht="15" customHeight="1" s="164"/>
    <row r="207" ht="15" customHeight="1" s="164"/>
    <row r="208" ht="15" customHeight="1" s="164"/>
    <row r="209" ht="15" customHeight="1" s="164"/>
    <row r="210" ht="15" customHeight="1" s="164"/>
    <row r="211" ht="15" customHeight="1" s="164"/>
    <row r="212" ht="15" customHeight="1" s="164"/>
    <row r="213" ht="15" customHeight="1" s="164"/>
    <row r="214" ht="15" customHeight="1" s="164"/>
    <row r="215" ht="15" customHeight="1" s="164"/>
    <row r="216" ht="15" customHeight="1" s="164"/>
    <row r="217" ht="15" customHeight="1" s="164"/>
    <row r="218" ht="15" customHeight="1" s="164"/>
    <row r="219" ht="15" customHeight="1" s="164"/>
    <row r="220" ht="15" customHeight="1" s="164"/>
    <row r="221" ht="15" customHeight="1" s="164"/>
    <row r="222" ht="15" customHeight="1" s="164"/>
    <row r="223" ht="1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15">
    <mergeCell ref="AB1:AC1"/>
    <mergeCell ref="D1:E1"/>
    <mergeCell ref="X1:Y1"/>
    <mergeCell ref="V1:W1"/>
    <mergeCell ref="T1:U1"/>
    <mergeCell ref="H1:I1"/>
    <mergeCell ref="Z1:AA1"/>
    <mergeCell ref="L1:M1"/>
    <mergeCell ref="J1:K1"/>
    <mergeCell ref="P1:Q1"/>
    <mergeCell ref="B2:F3"/>
    <mergeCell ref="F1:G1"/>
    <mergeCell ref="B1:C1"/>
    <mergeCell ref="N1:O1"/>
    <mergeCell ref="R1:S1"/>
  </mergeCells>
  <hyperlinks>
    <hyperlink ref="B1" location="Dashboard!A1" display="DASHBOARD"/>
    <hyperlink ref="D1" location="Aujourdhui!A1" display="AUJOURD'HUI"/>
    <hyperlink ref="F1" location="Applications!A1" display="CANDIDATURES"/>
    <hyperlink ref="J1" location="'Analyse Avancée'!A1" display="ANALYSE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B1:AC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20" customWidth="1" style="163" min="2" max="7"/>
    <col width="8.710000000000001" customWidth="1" style="163" min="8" max="29"/>
  </cols>
  <sheetData>
    <row r="1" ht="19.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5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ANALYSE AVANCÉE</t>
        </is>
      </c>
    </row>
    <row r="3" ht="15" customHeight="1" s="164"/>
    <row r="4" ht="15" customHeight="1" s="164"/>
    <row r="5" ht="15" customHeight="1" s="164">
      <c r="B5" s="198" t="inlineStr">
        <is>
          <t>INDICATEURS CLÉS</t>
        </is>
      </c>
    </row>
    <row r="6" ht="15" customHeight="1" s="164"/>
    <row r="7" ht="30" customHeight="1" s="164">
      <c r="B7" s="253" t="inlineStr">
        <is>
          <t>Ancienneté moyenne (jours)</t>
        </is>
      </c>
      <c r="C7" s="254">
        <f>IFERROR(AVERAGE(Applications!N6:N200),0)</f>
        <v/>
      </c>
      <c r="D7" s="253" t="inlineStr">
        <is>
          <t>Candidatures cette semaine</t>
        </is>
      </c>
      <c r="E7" s="254">
        <f>COUNTIFS(Applications!F6:F200,"&gt;="&amp;(TODAY()-WEEKDAY(TODAY(),3)))</f>
        <v/>
      </c>
      <c r="F7" s="253" t="inlineStr">
        <is>
          <t>Candidatures ce mois-ci</t>
        </is>
      </c>
      <c r="G7" s="254">
        <f>COUNTIFS(Applications!F6:F200,"&gt;="&amp;(EOMONTH(TODAY(),-1)+1))</f>
        <v/>
      </c>
    </row>
    <row r="8" ht="15" customHeight="1" s="164"/>
    <row r="9" ht="30" customHeight="1" s="164">
      <c r="B9" s="253" t="inlineStr">
        <is>
          <t>Taux de conversion en entretien</t>
        </is>
      </c>
      <c r="C9" s="255">
        <f>IFERROR(COUNTIF(Applications!G6:G200,"Entretien")/COUNTIF(Applications!G6:G200,"Candidature envoyée"),0)</f>
        <v/>
      </c>
      <c r="D9" s="253" t="inlineStr">
        <is>
          <t>Offres reçues</t>
        </is>
      </c>
      <c r="E9" s="254">
        <f>COUNTIF(Applications!G6:G200,"Offre")</f>
        <v/>
      </c>
      <c r="F9" s="253" t="inlineStr">
        <is>
          <t>Objectif hebdo (10 cand./sem.)</t>
        </is>
      </c>
      <c r="G9" s="255">
        <f>IFERROR(COUNTIFS(Applications!F6:F200,"&gt;="&amp;(TODAY()-WEEKDAY(TODAY(),3)))/10,0)</f>
        <v/>
      </c>
    </row>
    <row r="10" ht="15" customHeight="1" s="164"/>
    <row r="11" ht="15" customHeight="1" s="164"/>
    <row r="12" ht="15" customHeight="1" s="164">
      <c r="B12" s="198" t="inlineStr">
        <is>
          <t>ENTONNOIR DE CONVERSION</t>
        </is>
      </c>
    </row>
    <row r="13" ht="15" customHeight="1" s="164"/>
    <row r="14" ht="15" customHeight="1" s="164">
      <c r="B14" s="204" t="inlineStr">
        <is>
          <t>Étape</t>
        </is>
      </c>
      <c r="C14" s="204" t="inlineStr">
        <is>
          <t>Nombre</t>
        </is>
      </c>
    </row>
    <row r="15" ht="15" customHeight="1" s="164">
      <c r="B15" s="195" t="inlineStr">
        <is>
          <t>Candidatures envoyées</t>
        </is>
      </c>
      <c r="C15" s="196">
        <f>COUNTIF(Applications!G6:G200,"Candidature envoyée")+COUNTIF(Applications!G6:G200,"Entretien")+COUNTIF(Applications!G6:G200,"Offre")+COUNTIF(Applications!G6:G200,"Refusé")</f>
        <v/>
      </c>
    </row>
    <row r="16" ht="15" customHeight="1" s="164">
      <c r="B16" s="195" t="inlineStr">
        <is>
          <t>Entretiens obtenus</t>
        </is>
      </c>
      <c r="C16" s="196">
        <f>COUNTIF(Applications!G6:G200,"Entretien")+COUNTIF(Applications!G6:G200,"Offre")</f>
        <v/>
      </c>
    </row>
    <row r="17" ht="15" customHeight="1" s="164">
      <c r="B17" s="195" t="inlineStr">
        <is>
          <t>Offres reçues</t>
        </is>
      </c>
      <c r="C17" s="196">
        <f>COUNTIF(Applications!G6:G200,"Offre")</f>
        <v/>
      </c>
    </row>
    <row r="18" ht="15" customHeight="1" s="164"/>
    <row r="19" ht="15" customHeight="1" s="164"/>
    <row r="20" ht="15" customHeight="1" s="164"/>
    <row r="21" ht="15" customHeight="1" s="164">
      <c r="B21" s="198" t="inlineStr">
        <is>
          <t>CANDIDATURES PAR CANAL DE SOURCING</t>
        </is>
      </c>
    </row>
    <row r="22" ht="15.75" customHeight="1" s="164"/>
    <row r="23" ht="15" customHeight="1" s="164">
      <c r="B23" s="204" t="inlineStr">
        <is>
          <t>Canal</t>
        </is>
      </c>
      <c r="C23" s="204" t="inlineStr">
        <is>
          <t>Candidatures</t>
        </is>
      </c>
      <c r="D23" s="204" t="inlineStr">
        <is>
          <t>Entretiens</t>
        </is>
      </c>
    </row>
    <row r="24" ht="15" customHeight="1" s="164">
      <c r="B24" s="195" t="inlineStr">
        <is>
          <t>LinkedIn</t>
        </is>
      </c>
      <c r="C24" s="196">
        <f>COUNTIF(Applications!H6:H200,"*Linkdin*")</f>
        <v/>
      </c>
      <c r="D24" s="196">
        <f>COUNTIFS(Applications!H6:H200,"*Linkdin*",Applications!G6:G200,"Entretien")</f>
        <v/>
      </c>
      <c r="F24" s="169">
        <f>IFERROR(D24/C24,0)+ROW()/100000</f>
        <v/>
      </c>
    </row>
    <row r="25" ht="15" customHeight="1" s="164">
      <c r="B25" s="195" t="inlineStr">
        <is>
          <t>Career Site</t>
        </is>
      </c>
      <c r="C25" s="196">
        <f>COUNTIF(Applications!H6:H200,"*Career Site*")</f>
        <v/>
      </c>
      <c r="D25" s="196">
        <f>COUNTIFS(Applications!H6:H200,"*Career Site*",Applications!G6:G200,"Entretien")</f>
        <v/>
      </c>
      <c r="F25" s="169">
        <f>IFERROR(D25/C25,0)+ROW()/100000</f>
        <v/>
      </c>
    </row>
    <row r="26" ht="15" customHeight="1" s="164">
      <c r="B26" s="195" t="inlineStr">
        <is>
          <t>Email</t>
        </is>
      </c>
      <c r="C26" s="196">
        <f>COUNTIF(Applications!H6:H200,"*Mail*")</f>
        <v/>
      </c>
      <c r="D26" s="196">
        <f>COUNTIFS(Applications!H6:H200,"*Mail*",Applications!G6:G200,"Entretien")</f>
        <v/>
      </c>
      <c r="F26" s="169">
        <f>IFERROR(D26/C26,0)+ROW()/100000</f>
        <v/>
      </c>
    </row>
    <row r="27" ht="15" customHeight="1" s="164">
      <c r="B27" s="195" t="inlineStr">
        <is>
          <t>Facebook</t>
        </is>
      </c>
      <c r="C27" s="196">
        <f>COUNTIF(Applications!H6:H200,"*Facebook*")</f>
        <v/>
      </c>
      <c r="D27" s="196">
        <f>COUNTIFS(Applications!H6:H200,"*Facebook*",Applications!G6:G200,"Entretien")</f>
        <v/>
      </c>
      <c r="F27" s="169">
        <f>IFERROR(D27/C27,0)+ROW()/100000</f>
        <v/>
      </c>
    </row>
    <row r="28" ht="15.75" customHeight="1" s="164"/>
    <row r="29" ht="15.75" customHeight="1" s="164"/>
    <row r="30" ht="15" customHeight="1" s="164">
      <c r="B30" s="198" t="inlineStr">
        <is>
          <t>CLASSEMENT DES CANAUX (PAR EFFICACITÉ)</t>
        </is>
      </c>
      <c r="H30" s="198" t="inlineStr">
        <is>
          <t>SANTÉ DE LA RECHERCHE (0-100)</t>
        </is>
      </c>
    </row>
    <row r="31" ht="15.75" customHeight="1" s="164"/>
    <row r="32" ht="15" customHeight="1" s="164">
      <c r="B32" s="204" t="inlineStr">
        <is>
          <t>Rang</t>
        </is>
      </c>
      <c r="C32" s="204" t="inlineStr">
        <is>
          <t>Canal</t>
        </is>
      </c>
      <c r="D32" s="204" t="inlineStr">
        <is>
          <t>Candidatures</t>
        </is>
      </c>
      <c r="E32" s="204" t="inlineStr">
        <is>
          <t>Taux d'entretien</t>
        </is>
      </c>
      <c r="H32" s="195" t="inlineStr">
        <is>
          <t>Taux de réponse</t>
        </is>
      </c>
      <c r="I32" s="256">
        <f>MIN(100,Dashboard!L7*100*3)</f>
        <v/>
      </c>
    </row>
    <row r="33" ht="15" customHeight="1" s="164">
      <c r="B33" s="196" t="n">
        <v>1</v>
      </c>
      <c r="C33" s="196">
        <f t="array" ref="C33:C33">INDEX($B$24:$B$27,MATCH(LARGE($F$24:$F$27,1),$F$24:$F$27,0))</f>
        <v/>
      </c>
      <c r="D33" s="196">
        <f t="array" ref="D33:D33">INDEX($C$24:$C$27,MATCH(LARGE($F$24:$F$27,1),$F$24:$F$27,0))</f>
        <v/>
      </c>
      <c r="E33" s="257">
        <f t="array" ref="E33:E33">IFERROR(INDEX($D$24:$D$27,MATCH(LARGE($F$24:$F$27,1),$F$24:$F$27,0))/INDEX($C$24:$C$27,MATCH(LARGE($F$24:$F$27,1),$F$24:$F$27,0)),0)</f>
        <v/>
      </c>
      <c r="H33" s="195" t="inlineStr">
        <is>
          <t>Taux d'entretien</t>
        </is>
      </c>
      <c r="I33" s="256">
        <f>MIN(100,C9*100*3)</f>
        <v/>
      </c>
    </row>
    <row r="34" ht="15" customHeight="1" s="164">
      <c r="B34" s="196" t="n">
        <v>2</v>
      </c>
      <c r="C34" s="196">
        <f t="array" ref="C34:C34">INDEX($B$24:$B$27,MATCH(LARGE($F$24:$F$27,2),$F$24:$F$27,0))</f>
        <v/>
      </c>
      <c r="D34" s="196">
        <f t="array" ref="D34:D34">INDEX($C$24:$C$27,MATCH(LARGE($F$24:$F$27,2),$F$24:$F$27,0))</f>
        <v/>
      </c>
      <c r="E34" s="257">
        <f t="array" ref="E34:E34">IFERROR(INDEX($D$24:$D$27,MATCH(LARGE($F$24:$F$27,2),$F$24:$F$27,0))/INDEX($C$24:$C$27,MATCH(LARGE($F$24:$F$27,2),$F$24:$F$27,0)),0)</f>
        <v/>
      </c>
      <c r="H34" s="195" t="inlineStr">
        <is>
          <t>Rythme hebdo (vs objectif)</t>
        </is>
      </c>
      <c r="I34" s="256">
        <f>MIN(100,IFERROR(COUNTIFS(Applications!F6:F200,"&gt;="&amp;(TODAY()-WEEKDAY(TODAY(),3)))/'Simulateur Objectifs'!$D$39*100,0))</f>
        <v/>
      </c>
    </row>
    <row r="35" ht="15" customHeight="1" s="164">
      <c r="B35" s="196" t="n">
        <v>3</v>
      </c>
      <c r="C35" s="196">
        <f t="array" ref="C35:C35">INDEX($B$24:$B$27,MATCH(LARGE($F$24:$F$27,3),$F$24:$F$27,0))</f>
        <v/>
      </c>
      <c r="D35" s="196">
        <f t="array" ref="D35:D35">INDEX($C$24:$C$27,MATCH(LARGE($F$24:$F$27,3),$F$24:$F$27,0))</f>
        <v/>
      </c>
      <c r="E35" s="257">
        <f t="array" ref="E35:E35">IFERROR(INDEX($D$24:$D$27,MATCH(LARGE($F$24:$F$27,3),$F$24:$F$27,0))/INDEX($C$24:$C$27,MATCH(LARGE($F$24:$F$27,3),$F$24:$F$27,0)),0)</f>
        <v/>
      </c>
      <c r="H35" s="195" t="inlineStr">
        <is>
          <t>Fraîcheur des candidatures</t>
        </is>
      </c>
      <c r="I35" s="256">
        <f>MAX(0,100-IFERROR(AVERAGE(Applications!N6:N200),0)*3)</f>
        <v/>
      </c>
    </row>
    <row r="36" ht="15" customHeight="1" s="164">
      <c r="B36" s="196" t="n">
        <v>4</v>
      </c>
      <c r="C36" s="196">
        <f t="array" ref="C36:C36">INDEX($B$24:$B$27,MATCH(LARGE($F$24:$F$27,4),$F$24:$F$27,0))</f>
        <v/>
      </c>
      <c r="D36" s="196">
        <f t="array" ref="D36:D36">INDEX($C$24:$C$27,MATCH(LARGE($F$24:$F$27,4),$F$24:$F$27,0))</f>
        <v/>
      </c>
      <c r="E36" s="257">
        <f t="array" ref="E36:E36">IFERROR(INDEX($D$24:$D$27,MATCH(LARGE($F$24:$F$27,4),$F$24:$F$27,0))/INDEX($C$24:$C$27,MATCH(LARGE($F$24:$F$27,4),$F$24:$F$27,0)),0)</f>
        <v/>
      </c>
    </row>
    <row r="37" ht="15.75" customHeight="1" s="164"/>
    <row r="38" ht="15.75" customHeight="1" s="164"/>
    <row r="39" ht="15.75" customHeight="1" s="164"/>
    <row r="40" ht="15.75" customHeight="1" s="164"/>
    <row r="41" ht="15.75" customHeight="1" s="164"/>
    <row r="42" ht="15.75" customHeight="1" s="164"/>
    <row r="43" ht="15.75" customHeight="1" s="164"/>
    <row r="44" ht="15.75" customHeight="1" s="164"/>
    <row r="45" ht="15.75" customHeight="1" s="164"/>
    <row r="46" ht="15.75" customHeight="1" s="164"/>
    <row r="47" ht="15.75" customHeight="1" s="164"/>
    <row r="48" ht="15.75" customHeight="1" s="164"/>
    <row r="49" ht="15.75" customHeight="1" s="164"/>
    <row r="50" ht="15.75" customHeight="1" s="164"/>
    <row r="51" ht="15.75" customHeight="1" s="164"/>
    <row r="52" ht="15.75" customHeight="1" s="164"/>
    <row r="53" ht="15.75" customHeight="1" s="164"/>
    <row r="54" ht="15.75" customHeight="1" s="164"/>
    <row r="55" ht="15.75" customHeight="1" s="164"/>
    <row r="56" ht="15.75" customHeight="1" s="164"/>
    <row r="57" ht="15.75" customHeight="1" s="164"/>
    <row r="58" ht="15.75" customHeight="1" s="164"/>
    <row r="59" ht="15.75" customHeight="1" s="164"/>
    <row r="60" ht="15.7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20">
    <mergeCell ref="D1:E1"/>
    <mergeCell ref="B30:E30"/>
    <mergeCell ref="H1:I1"/>
    <mergeCell ref="J1:K1"/>
    <mergeCell ref="P1:Q1"/>
    <mergeCell ref="B2:H3"/>
    <mergeCell ref="B5:H5"/>
    <mergeCell ref="AB1:AC1"/>
    <mergeCell ref="H30:K30"/>
    <mergeCell ref="V1:W1"/>
    <mergeCell ref="B1:C1"/>
    <mergeCell ref="N1:O1"/>
    <mergeCell ref="T1:U1"/>
    <mergeCell ref="L1:M1"/>
    <mergeCell ref="X1:Y1"/>
    <mergeCell ref="Z1:AA1"/>
    <mergeCell ref="B21:D21"/>
    <mergeCell ref="B12:D12"/>
    <mergeCell ref="F1:G1"/>
    <mergeCell ref="R1:S1"/>
  </mergeCell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L1" location="'Contacts RH'!A1" display="CONTACTS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B1:AC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B7" activeCellId="0" sqref="B7"/>
    </sheetView>
  </sheetViews>
  <sheetFormatPr baseColWidth="8" defaultColWidth="14.43359375" defaultRowHeight="15" zeroHeight="0" outlineLevelRow="0"/>
  <cols>
    <col width="8.710000000000001" customWidth="1" style="163" min="1" max="1"/>
    <col width="20" customWidth="1" style="163" min="2" max="2"/>
    <col width="32.57" customWidth="1" style="163" min="3" max="3"/>
    <col width="33.71" customWidth="1" style="163" min="4" max="4"/>
    <col width="45.57" customWidth="1" style="163" min="5" max="5"/>
    <col width="17.57" customWidth="1" style="163" min="6" max="6"/>
    <col width="16.84" customWidth="1" style="163" min="7" max="7"/>
    <col width="9.43" customWidth="1" style="163" min="8" max="8"/>
    <col width="8.710000000000001" customWidth="1" style="163" min="9" max="9"/>
    <col hidden="1" width="13" customWidth="1" style="163" min="10" max="11"/>
    <col width="7.86" customWidth="1" style="163" min="12" max="12"/>
    <col width="8.710000000000001" customWidth="1" style="163" min="13" max="13"/>
    <col width="9.140000000000001" customWidth="1" style="163" min="14" max="14"/>
    <col width="8.710000000000001" customWidth="1" style="163" min="15" max="15"/>
    <col width="7.57" customWidth="1" style="163" min="16" max="16"/>
    <col width="8.710000000000001" customWidth="1" style="163" min="17" max="17"/>
    <col width="11" customWidth="1" style="163" min="18" max="18"/>
    <col width="8.710000000000001" customWidth="1" style="163" min="19" max="19"/>
    <col width="8.15" customWidth="1" style="163" min="20" max="20"/>
    <col width="8.710000000000001" customWidth="1" style="163" min="21" max="21"/>
    <col width="5.71" customWidth="1" style="163" min="22" max="22"/>
    <col width="8.710000000000001" customWidth="1" style="163" min="23" max="23"/>
    <col width="10.14" customWidth="1" style="163" min="24" max="24"/>
    <col width="8.710000000000001" customWidth="1" style="163" min="25" max="25"/>
    <col width="7.71" customWidth="1" style="163" min="26" max="26"/>
    <col width="8.710000000000001" customWidth="1" style="163" min="27" max="27"/>
    <col width="9.289999999999999" customWidth="1" style="163" min="28" max="28"/>
    <col width="8.710000000000001" customWidth="1" style="163" min="29" max="29"/>
  </cols>
  <sheetData>
    <row r="1" ht="1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5" t="inlineStr">
        <is>
          <t>CONTACTS</t>
        </is>
      </c>
      <c r="N1" s="166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CONTACTS RH — CARNET D'ADRESSES</t>
        </is>
      </c>
    </row>
    <row r="3" ht="15" customHeight="1" s="164"/>
    <row r="4" ht="21.75" customHeight="1" s="164">
      <c r="B4" s="258" t="inlineStr">
        <is>
          <t>Liste extraite et mise à jour automatiquement depuis Candidatures</t>
        </is>
      </c>
      <c r="D4" s="214" t="inlineStr">
        <is>
          <t>Cette liste se met à jour toute seule dès que vous ajoutez un contact RH dans Candidatures.</t>
        </is>
      </c>
    </row>
    <row r="5" ht="15" customHeight="1" s="164"/>
    <row r="6" ht="15" customHeight="1" s="164">
      <c r="B6" s="247" t="inlineStr">
        <is>
          <t>#</t>
        </is>
      </c>
      <c r="C6" s="247" t="inlineStr">
        <is>
          <t>Contact RH</t>
        </is>
      </c>
      <c r="D6" s="247" t="inlineStr">
        <is>
          <t>Entreprise</t>
        </is>
      </c>
      <c r="E6" s="247" t="inlineStr">
        <is>
          <t>Poste</t>
        </is>
      </c>
      <c r="F6" s="247" t="inlineStr">
        <is>
          <t>Statut</t>
        </is>
      </c>
      <c r="G6" s="247" t="inlineStr">
        <is>
          <t>Canal</t>
        </is>
      </c>
      <c r="J6" s="163" t="inlineStr">
        <is>
          <t>Canal</t>
        </is>
      </c>
      <c r="K6" s="163" t="inlineStr">
        <is>
          <t>Nb contacts</t>
        </is>
      </c>
    </row>
    <row r="7" ht="23.25" customHeight="1" s="164">
      <c r="B7" s="259" t="n">
        <v>1</v>
      </c>
      <c r="C7" s="260">
        <f t="array" ref="C7:C7">IFERROR(SUBSTITUTE(SUBSTITUTE(INDEX(Applications!$I$6:$I$200,MATCH(1,Applications!$S$6:$S$200,0)),CHAR(10),", "),"  "," "),"")</f>
        <v/>
      </c>
      <c r="D7" s="260">
        <f t="array" ref="D7:D7">IFERROR(INDEX(Applications!$C$6:$C$200,MATCH(1,Applications!$S$6:$S$200,0)),"")</f>
        <v/>
      </c>
      <c r="E7" s="260">
        <f t="array" ref="E7:E7">IFERROR(INDEX(Applications!$D$6:$D$200,MATCH(1,Applications!$S$6:$S$200,0)),"")</f>
        <v/>
      </c>
      <c r="F7" s="259">
        <f t="array" ref="F7:F7">IFERROR(INDEX(Applications!$G$6:$G$200,MATCH(1,Applications!$S$6:$S$200,0)),"")</f>
        <v/>
      </c>
      <c r="G7" s="260">
        <f t="array" ref="G7:G7">IF(IFERROR(INDEX(Applications!$H$6:$H$200,MATCH(1,Applications!$S$6:$S$200,0)),"")=0,"",IFERROR(INDEX(Applications!$H$6:$H$200,MATCH(1,Applications!$S$6:$S$200,0)),""))</f>
        <v/>
      </c>
      <c r="J7" s="169" t="inlineStr">
        <is>
          <t>Linkdin</t>
        </is>
      </c>
      <c r="K7" s="169">
        <f>COUNTIF($G$7:$G$36,"*Linkdin*")</f>
        <v/>
      </c>
    </row>
    <row r="8" ht="15" customHeight="1" s="164">
      <c r="B8" s="259" t="n">
        <v>2</v>
      </c>
      <c r="C8" s="260">
        <f t="array" ref="C8:C8">IFERROR(SUBSTITUTE(SUBSTITUTE(INDEX(Applications!$I$6:$I$200,MATCH(2,Applications!$S$6:$S$200,0)),CHAR(10),", "),"  "," "),"")</f>
        <v/>
      </c>
      <c r="D8" s="260">
        <f t="array" ref="D8:D8">IFERROR(INDEX(Applications!$C$6:$C$200,MATCH(2,Applications!$S$6:$S$200,0)),"")</f>
        <v/>
      </c>
      <c r="E8" s="260">
        <f t="array" ref="E8:E8">IFERROR(INDEX(Applications!$D$6:$D$200,MATCH(2,Applications!$S$6:$S$200,0)),"")</f>
        <v/>
      </c>
      <c r="F8" s="259">
        <f t="array" ref="F8:F8">IFERROR(INDEX(Applications!$G$6:$G$200,MATCH(2,Applications!$S$6:$S$200,0)),"")</f>
        <v/>
      </c>
      <c r="G8" s="260">
        <f t="array" ref="G8:G8">IF(IFERROR(INDEX(Applications!$H$6:$H$200,MATCH(2,Applications!$S$6:$S$200,0)),"")=0,"",IFERROR(INDEX(Applications!$H$6:$H$200,MATCH(2,Applications!$S$6:$S$200,0)),""))</f>
        <v/>
      </c>
      <c r="J8" s="169" t="inlineStr">
        <is>
          <t>Career Site</t>
        </is>
      </c>
      <c r="K8" s="169">
        <f>COUNTIF($G$7:$G$36,"*Career Site*")</f>
        <v/>
      </c>
    </row>
    <row r="9" ht="15" customHeight="1" s="164">
      <c r="B9" s="259" t="n">
        <v>3</v>
      </c>
      <c r="C9" s="260">
        <f t="array" ref="C9:C9">IFERROR(SUBSTITUTE(SUBSTITUTE(INDEX(Applications!$I$6:$I$200,MATCH(3,Applications!$S$6:$S$200,0)),CHAR(10),", "),"  "," "),"")</f>
        <v/>
      </c>
      <c r="D9" s="260">
        <f t="array" ref="D9:D9">IFERROR(INDEX(Applications!$C$6:$C$200,MATCH(3,Applications!$S$6:$S$200,0)),"")</f>
        <v/>
      </c>
      <c r="E9" s="260">
        <f t="array" ref="E9:E9">IFERROR(INDEX(Applications!$D$6:$D$200,MATCH(3,Applications!$S$6:$S$200,0)),"")</f>
        <v/>
      </c>
      <c r="F9" s="259">
        <f t="array" ref="F9:F9">IFERROR(INDEX(Applications!$G$6:$G$200,MATCH(3,Applications!$S$6:$S$200,0)),"")</f>
        <v/>
      </c>
      <c r="G9" s="260">
        <f t="array" ref="G9:G9">IF(IFERROR(INDEX(Applications!$H$6:$H$200,MATCH(3,Applications!$S$6:$S$200,0)),"")=0,"",IFERROR(INDEX(Applications!$H$6:$H$200,MATCH(3,Applications!$S$6:$S$200,0)),""))</f>
        <v/>
      </c>
      <c r="J9" s="169" t="inlineStr">
        <is>
          <t>Mail</t>
        </is>
      </c>
      <c r="K9" s="169">
        <f>COUNTIF($G$7:$G$36,"*Mail*")</f>
        <v/>
      </c>
    </row>
    <row r="10" ht="15" customHeight="1" s="164">
      <c r="B10" s="259" t="n">
        <v>4</v>
      </c>
      <c r="C10" s="260">
        <f t="array" ref="C10:C10">IFERROR(SUBSTITUTE(SUBSTITUTE(INDEX(Applications!$I$6:$I$200,MATCH(4,Applications!$S$6:$S$200,0)),CHAR(10),", "),"  "," "),"")</f>
        <v/>
      </c>
      <c r="D10" s="260">
        <f t="array" ref="D10:D10">IFERROR(INDEX(Applications!$C$6:$C$200,MATCH(4,Applications!$S$6:$S$200,0)),"")</f>
        <v/>
      </c>
      <c r="E10" s="260">
        <f t="array" ref="E10:E10">IFERROR(INDEX(Applications!$D$6:$D$200,MATCH(4,Applications!$S$6:$S$200,0)),"")</f>
        <v/>
      </c>
      <c r="F10" s="259">
        <f t="array" ref="F10:F10">IFERROR(INDEX(Applications!$G$6:$G$200,MATCH(4,Applications!$S$6:$S$200,0)),"")</f>
        <v/>
      </c>
      <c r="G10" s="260">
        <f t="array" ref="G10:G10">IF(IFERROR(INDEX(Applications!$H$6:$H$200,MATCH(4,Applications!$S$6:$S$200,0)),"")=0,"",IFERROR(INDEX(Applications!$H$6:$H$200,MATCH(4,Applications!$S$6:$S$200,0)),""))</f>
        <v/>
      </c>
      <c r="J10" s="169" t="inlineStr">
        <is>
          <t>Facebook</t>
        </is>
      </c>
      <c r="K10" s="169">
        <f>COUNTIF($G$7:$G$36,"*Facebook*")</f>
        <v/>
      </c>
    </row>
    <row r="11" ht="23.25" customHeight="1" s="164">
      <c r="B11" s="259" t="n">
        <v>5</v>
      </c>
      <c r="C11" s="260">
        <f t="array" ref="C11:C11">IFERROR(SUBSTITUTE(SUBSTITUTE(INDEX(Applications!$I$6:$I$200,MATCH(5,Applications!$S$6:$S$200,0)),CHAR(10),", "),"  "," "),"")</f>
        <v/>
      </c>
      <c r="D11" s="260">
        <f t="array" ref="D11:D11">IFERROR(INDEX(Applications!$C$6:$C$200,MATCH(5,Applications!$S$6:$S$200,0)),"")</f>
        <v/>
      </c>
      <c r="E11" s="260">
        <f t="array" ref="E11:E11">IFERROR(INDEX(Applications!$D$6:$D$200,MATCH(5,Applications!$S$6:$S$200,0)),"")</f>
        <v/>
      </c>
      <c r="F11" s="259">
        <f t="array" ref="F11:F11">IFERROR(INDEX(Applications!$G$6:$G$200,MATCH(5,Applications!$S$6:$S$200,0)),"")</f>
        <v/>
      </c>
      <c r="G11" s="260">
        <f t="array" ref="G11:G11">IF(IFERROR(INDEX(Applications!$H$6:$H$200,MATCH(5,Applications!$S$6:$S$200,0)),"")=0,"",IFERROR(INDEX(Applications!$H$6:$H$200,MATCH(5,Applications!$S$6:$S$200,0)),""))</f>
        <v/>
      </c>
    </row>
    <row r="12" ht="15" customHeight="1" s="164">
      <c r="B12" s="259" t="n">
        <v>6</v>
      </c>
      <c r="C12" s="260">
        <f t="array" ref="C12:C12">IFERROR(SUBSTITUTE(SUBSTITUTE(INDEX(Applications!$I$6:$I$200,MATCH(6,Applications!$S$6:$S$200,0)),CHAR(10),", "),"  "," "),"")</f>
        <v/>
      </c>
      <c r="D12" s="260">
        <f t="array" ref="D12:D12">IFERROR(INDEX(Applications!$C$6:$C$200,MATCH(6,Applications!$S$6:$S$200,0)),"")</f>
        <v/>
      </c>
      <c r="E12" s="260">
        <f t="array" ref="E12:E12">IFERROR(INDEX(Applications!$D$6:$D$200,MATCH(6,Applications!$S$6:$S$200,0)),"")</f>
        <v/>
      </c>
      <c r="F12" s="259">
        <f t="array" ref="F12:F12">IFERROR(INDEX(Applications!$G$6:$G$200,MATCH(6,Applications!$S$6:$S$200,0)),"")</f>
        <v/>
      </c>
      <c r="G12" s="260">
        <f t="array" ref="G12:G12">IF(IFERROR(INDEX(Applications!$H$6:$H$200,MATCH(6,Applications!$S$6:$S$200,0)),"")=0,"",IFERROR(INDEX(Applications!$H$6:$H$200,MATCH(6,Applications!$S$6:$S$200,0)),""))</f>
        <v/>
      </c>
    </row>
    <row r="13" ht="23.25" customHeight="1" s="164">
      <c r="B13" s="259" t="n">
        <v>7</v>
      </c>
      <c r="C13" s="260">
        <f t="array" ref="C13:C13">IFERROR(SUBSTITUTE(SUBSTITUTE(INDEX(Applications!$I$6:$I$200,MATCH(7,Applications!$S$6:$S$200,0)),CHAR(10),", "),"  "," "),"")</f>
        <v/>
      </c>
      <c r="D13" s="260">
        <f t="array" ref="D13:D13">IFERROR(INDEX(Applications!$C$6:$C$200,MATCH(7,Applications!$S$6:$S$200,0)),"")</f>
        <v/>
      </c>
      <c r="E13" s="260">
        <f t="array" ref="E13:E13">IFERROR(INDEX(Applications!$D$6:$D$200,MATCH(7,Applications!$S$6:$S$200,0)),"")</f>
        <v/>
      </c>
      <c r="F13" s="259">
        <f t="array" ref="F13:F13">IFERROR(INDEX(Applications!$G$6:$G$200,MATCH(7,Applications!$S$6:$S$200,0)),"")</f>
        <v/>
      </c>
      <c r="G13" s="260">
        <f t="array" ref="G13:G13">IF(IFERROR(INDEX(Applications!$H$6:$H$200,MATCH(7,Applications!$S$6:$S$200,0)),"")=0,"",IFERROR(INDEX(Applications!$H$6:$H$200,MATCH(7,Applications!$S$6:$S$200,0)),""))</f>
        <v/>
      </c>
    </row>
    <row r="14" ht="15" customHeight="1" s="164">
      <c r="B14" s="259" t="n">
        <v>8</v>
      </c>
      <c r="C14" s="260">
        <f t="array" ref="C14:C14">IFERROR(SUBSTITUTE(SUBSTITUTE(INDEX(Applications!$I$6:$I$200,MATCH(8,Applications!$S$6:$S$200,0)),CHAR(10),", "),"  "," "),"")</f>
        <v/>
      </c>
      <c r="D14" s="260">
        <f t="array" ref="D14:D14">IFERROR(INDEX(Applications!$C$6:$C$200,MATCH(8,Applications!$S$6:$S$200,0)),"")</f>
        <v/>
      </c>
      <c r="E14" s="260">
        <f t="array" ref="E14:E14">IFERROR(INDEX(Applications!$D$6:$D$200,MATCH(8,Applications!$S$6:$S$200,0)),"")</f>
        <v/>
      </c>
      <c r="F14" s="259">
        <f t="array" ref="F14:F14">IFERROR(INDEX(Applications!$G$6:$G$200,MATCH(8,Applications!$S$6:$S$200,0)),"")</f>
        <v/>
      </c>
      <c r="G14" s="260">
        <f t="array" ref="G14:G14">IF(IFERROR(INDEX(Applications!$H$6:$H$200,MATCH(8,Applications!$S$6:$S$200,0)),"")=0,"",IFERROR(INDEX(Applications!$H$6:$H$200,MATCH(8,Applications!$S$6:$S$200,0)),""))</f>
        <v/>
      </c>
    </row>
    <row r="15" ht="23.25" customHeight="1" s="164">
      <c r="B15" s="259" t="n">
        <v>9</v>
      </c>
      <c r="C15" s="260">
        <f t="array" ref="C15:C15">IFERROR(SUBSTITUTE(SUBSTITUTE(INDEX(Applications!$I$6:$I$200,MATCH(9,Applications!$S$6:$S$200,0)),CHAR(10),", "),"  "," "),"")</f>
        <v/>
      </c>
      <c r="D15" s="260">
        <f t="array" ref="D15:D15">IFERROR(INDEX(Applications!$C$6:$C$200,MATCH(9,Applications!$S$6:$S$200,0)),"")</f>
        <v/>
      </c>
      <c r="E15" s="260">
        <f t="array" ref="E15:E15">IFERROR(INDEX(Applications!$D$6:$D$200,MATCH(9,Applications!$S$6:$S$200,0)),"")</f>
        <v/>
      </c>
      <c r="F15" s="259">
        <f t="array" ref="F15:F15">IFERROR(INDEX(Applications!$G$6:$G$200,MATCH(9,Applications!$S$6:$S$200,0)),"")</f>
        <v/>
      </c>
      <c r="G15" s="260">
        <f t="array" ref="G15:G15">IF(IFERROR(INDEX(Applications!$H$6:$H$200,MATCH(9,Applications!$S$6:$S$200,0)),"")=0,"",IFERROR(INDEX(Applications!$H$6:$H$200,MATCH(9,Applications!$S$6:$S$200,0)),""))</f>
        <v/>
      </c>
    </row>
    <row r="16" ht="34.5" customHeight="1" s="164">
      <c r="B16" s="259" t="n">
        <v>10</v>
      </c>
      <c r="C16" s="260">
        <f t="array" ref="C16:C16">IFERROR(SUBSTITUTE(SUBSTITUTE(INDEX(Applications!$I$6:$I$200,MATCH(10,Applications!$S$6:$S$200,0)),CHAR(10),", "),"  "," "),"")</f>
        <v/>
      </c>
      <c r="D16" s="260">
        <f t="array" ref="D16:D16">IFERROR(INDEX(Applications!$C$6:$C$200,MATCH(10,Applications!$S$6:$S$200,0)),"")</f>
        <v/>
      </c>
      <c r="E16" s="260">
        <f t="array" ref="E16:E16">IFERROR(INDEX(Applications!$D$6:$D$200,MATCH(10,Applications!$S$6:$S$200,0)),"")</f>
        <v/>
      </c>
      <c r="F16" s="259">
        <f t="array" ref="F16:F16">IFERROR(INDEX(Applications!$G$6:$G$200,MATCH(10,Applications!$S$6:$S$200,0)),"")</f>
        <v/>
      </c>
      <c r="G16" s="260">
        <f t="array" ref="G16:G16">IF(IFERROR(INDEX(Applications!$H$6:$H$200,MATCH(10,Applications!$S$6:$S$200,0)),"")=0,"",IFERROR(INDEX(Applications!$H$6:$H$200,MATCH(10,Applications!$S$6:$S$200,0)),""))</f>
        <v/>
      </c>
    </row>
    <row r="17" ht="45.75" customHeight="1" s="164">
      <c r="B17" s="259" t="n">
        <v>11</v>
      </c>
      <c r="C17" s="260">
        <f t="array" ref="C17:C17">IFERROR(SUBSTITUTE(SUBSTITUTE(INDEX(Applications!$I$6:$I$200,MATCH(11,Applications!$S$6:$S$200,0)),CHAR(10),", "),"  "," "),"")</f>
        <v/>
      </c>
      <c r="D17" s="260">
        <f t="array" ref="D17:D17">IFERROR(INDEX(Applications!$C$6:$C$200,MATCH(11,Applications!$S$6:$S$200,0)),"")</f>
        <v/>
      </c>
      <c r="E17" s="260">
        <f t="array" ref="E17:E17">IFERROR(INDEX(Applications!$D$6:$D$200,MATCH(11,Applications!$S$6:$S$200,0)),"")</f>
        <v/>
      </c>
      <c r="F17" s="259">
        <f t="array" ref="F17:F17">IFERROR(INDEX(Applications!$G$6:$G$200,MATCH(11,Applications!$S$6:$S$200,0)),"")</f>
        <v/>
      </c>
      <c r="G17" s="260">
        <f t="array" ref="G17:G17">IF(IFERROR(INDEX(Applications!$H$6:$H$200,MATCH(11,Applications!$S$6:$S$200,0)),"")=0,"",IFERROR(INDEX(Applications!$H$6:$H$200,MATCH(11,Applications!$S$6:$S$200,0)),""))</f>
        <v/>
      </c>
    </row>
    <row r="18" ht="57" customHeight="1" s="164">
      <c r="B18" s="259" t="n">
        <v>12</v>
      </c>
      <c r="C18" s="260">
        <f t="array" ref="C18:C18">IFERROR(SUBSTITUTE(SUBSTITUTE(INDEX(Applications!$I$6:$I$200,MATCH(12,Applications!$S$6:$S$200,0)),CHAR(10),", "),"  "," "),"")</f>
        <v/>
      </c>
      <c r="D18" s="260">
        <f t="array" ref="D18:D18">IFERROR(INDEX(Applications!$C$6:$C$200,MATCH(12,Applications!$S$6:$S$200,0)),"")</f>
        <v/>
      </c>
      <c r="E18" s="260">
        <f t="array" ref="E18:E18">IFERROR(INDEX(Applications!$D$6:$D$200,MATCH(12,Applications!$S$6:$S$200,0)),"")</f>
        <v/>
      </c>
      <c r="F18" s="259">
        <f t="array" ref="F18:F18">IFERROR(INDEX(Applications!$G$6:$G$200,MATCH(12,Applications!$S$6:$S$200,0)),"")</f>
        <v/>
      </c>
      <c r="G18" s="260">
        <f t="array" ref="G18:G18">IF(IFERROR(INDEX(Applications!$H$6:$H$200,MATCH(12,Applications!$S$6:$S$200,0)),"")=0,"",IFERROR(INDEX(Applications!$H$6:$H$200,MATCH(12,Applications!$S$6:$S$200,0)),""))</f>
        <v/>
      </c>
    </row>
    <row r="19" ht="34.5" customHeight="1" s="164">
      <c r="B19" s="259" t="n">
        <v>13</v>
      </c>
      <c r="C19" s="260">
        <f t="array" ref="C19:C19">IFERROR(SUBSTITUTE(SUBSTITUTE(INDEX(Applications!$I$6:$I$200,MATCH(13,Applications!$S$6:$S$200,0)),CHAR(10),", "),"  "," "),"")</f>
        <v/>
      </c>
      <c r="D19" s="260">
        <f t="array" ref="D19:D19">IFERROR(INDEX(Applications!$C$6:$C$200,MATCH(13,Applications!$S$6:$S$200,0)),"")</f>
        <v/>
      </c>
      <c r="E19" s="260">
        <f t="array" ref="E19:E19">IFERROR(INDEX(Applications!$D$6:$D$200,MATCH(13,Applications!$S$6:$S$200,0)),"")</f>
        <v/>
      </c>
      <c r="F19" s="259">
        <f t="array" ref="F19:F19">IFERROR(INDEX(Applications!$G$6:$G$200,MATCH(13,Applications!$S$6:$S$200,0)),"")</f>
        <v/>
      </c>
      <c r="G19" s="260">
        <f t="array" ref="G19:G19">IF(IFERROR(INDEX(Applications!$H$6:$H$200,MATCH(13,Applications!$S$6:$S$200,0)),"")=0,"",IFERROR(INDEX(Applications!$H$6:$H$200,MATCH(13,Applications!$S$6:$S$200,0)),""))</f>
        <v/>
      </c>
    </row>
    <row r="20" ht="57" customHeight="1" s="164">
      <c r="B20" s="259" t="n">
        <v>14</v>
      </c>
      <c r="C20" s="260">
        <f t="array" ref="C20:C20">IFERROR(SUBSTITUTE(SUBSTITUTE(INDEX(Applications!$I$6:$I$200,MATCH(14,Applications!$S$6:$S$200,0)),CHAR(10),", "),"  "," "),"")</f>
        <v/>
      </c>
      <c r="D20" s="260">
        <f t="array" ref="D20:D20">IFERROR(INDEX(Applications!$C$6:$C$200,MATCH(14,Applications!$S$6:$S$200,0)),"")</f>
        <v/>
      </c>
      <c r="E20" s="260">
        <f t="array" ref="E20:E20">IFERROR(INDEX(Applications!$D$6:$D$200,MATCH(14,Applications!$S$6:$S$200,0)),"")</f>
        <v/>
      </c>
      <c r="F20" s="259">
        <f t="array" ref="F20:F20">IFERROR(INDEX(Applications!$G$6:$G$200,MATCH(14,Applications!$S$6:$S$200,0)),"")</f>
        <v/>
      </c>
      <c r="G20" s="260">
        <f t="array" ref="G20:G20">IF(IFERROR(INDEX(Applications!$H$6:$H$200,MATCH(14,Applications!$S$6:$S$200,0)),"")=0,"",IFERROR(INDEX(Applications!$H$6:$H$200,MATCH(14,Applications!$S$6:$S$200,0)),""))</f>
        <v/>
      </c>
    </row>
    <row r="21" ht="57" customHeight="1" s="164">
      <c r="B21" s="259" t="n">
        <v>15</v>
      </c>
      <c r="C21" s="260">
        <f t="array" ref="C21:C21">IFERROR(SUBSTITUTE(SUBSTITUTE(INDEX(Applications!$I$6:$I$200,MATCH(15,Applications!$S$6:$S$200,0)),CHAR(10),", "),"  "," "),"")</f>
        <v/>
      </c>
      <c r="D21" s="260">
        <f t="array" ref="D21:D21">IFERROR(INDEX(Applications!$C$6:$C$200,MATCH(15,Applications!$S$6:$S$200,0)),"")</f>
        <v/>
      </c>
      <c r="E21" s="260">
        <f t="array" ref="E21:E21">IFERROR(INDEX(Applications!$D$6:$D$200,MATCH(15,Applications!$S$6:$S$200,0)),"")</f>
        <v/>
      </c>
      <c r="F21" s="259">
        <f t="array" ref="F21:F21">IFERROR(INDEX(Applications!$G$6:$G$200,MATCH(15,Applications!$S$6:$S$200,0)),"")</f>
        <v/>
      </c>
      <c r="G21" s="260">
        <f t="array" ref="G21:G21">IF(IFERROR(INDEX(Applications!$H$6:$H$200,MATCH(15,Applications!$S$6:$S$200,0)),"")=0,"",IFERROR(INDEX(Applications!$H$6:$H$200,MATCH(15,Applications!$S$6:$S$200,0)),""))</f>
        <v/>
      </c>
    </row>
    <row r="22" ht="23.25" customHeight="1" s="164">
      <c r="B22" s="259" t="n">
        <v>16</v>
      </c>
      <c r="C22" s="260">
        <f t="array" ref="C22:C22">IFERROR(SUBSTITUTE(SUBSTITUTE(INDEX(Applications!$I$6:$I$200,MATCH(16,Applications!$S$6:$S$200,0)),CHAR(10),", "),"  "," "),"")</f>
        <v/>
      </c>
      <c r="D22" s="260">
        <f t="array" ref="D22:D22">IFERROR(INDEX(Applications!$C$6:$C$200,MATCH(16,Applications!$S$6:$S$200,0)),"")</f>
        <v/>
      </c>
      <c r="E22" s="260">
        <f t="array" ref="E22:E22">IFERROR(INDEX(Applications!$D$6:$D$200,MATCH(16,Applications!$S$6:$S$200,0)),"")</f>
        <v/>
      </c>
      <c r="F22" s="259">
        <f t="array" ref="F22:F22">IFERROR(INDEX(Applications!$G$6:$G$200,MATCH(16,Applications!$S$6:$S$200,0)),"")</f>
        <v/>
      </c>
      <c r="G22" s="260">
        <f t="array" ref="G22:G22">IF(IFERROR(INDEX(Applications!$H$6:$H$200,MATCH(16,Applications!$S$6:$S$200,0)),"")=0,"",IFERROR(INDEX(Applications!$H$6:$H$200,MATCH(16,Applications!$S$6:$S$200,0)),""))</f>
        <v/>
      </c>
    </row>
    <row r="23" ht="57" customHeight="1" s="164">
      <c r="B23" s="259" t="n">
        <v>17</v>
      </c>
      <c r="C23" s="260">
        <f t="array" ref="C23:C23">IFERROR(SUBSTITUTE(SUBSTITUTE(INDEX(Applications!$I$6:$I$200,MATCH(17,Applications!$S$6:$S$200,0)),CHAR(10),", "),"  "," "),"")</f>
        <v/>
      </c>
      <c r="D23" s="260">
        <f t="array" ref="D23:D23">IFERROR(INDEX(Applications!$C$6:$C$200,MATCH(17,Applications!$S$6:$S$200,0)),"")</f>
        <v/>
      </c>
      <c r="E23" s="260">
        <f t="array" ref="E23:E23">IFERROR(INDEX(Applications!$D$6:$D$200,MATCH(17,Applications!$S$6:$S$200,0)),"")</f>
        <v/>
      </c>
      <c r="F23" s="259">
        <f t="array" ref="F23:F23">IFERROR(INDEX(Applications!$G$6:$G$200,MATCH(17,Applications!$S$6:$S$200,0)),"")</f>
        <v/>
      </c>
      <c r="G23" s="260">
        <f t="array" ref="G23:G23">IF(IFERROR(INDEX(Applications!$H$6:$H$200,MATCH(17,Applications!$S$6:$S$200,0)),"")=0,"",IFERROR(INDEX(Applications!$H$6:$H$200,MATCH(17,Applications!$S$6:$S$200,0)),""))</f>
        <v/>
      </c>
    </row>
    <row r="24" ht="23.25" customHeight="1" s="164">
      <c r="B24" s="259" t="n">
        <v>18</v>
      </c>
      <c r="C24" s="260">
        <f t="array" ref="C24:C24">IFERROR(SUBSTITUTE(SUBSTITUTE(INDEX(Applications!$I$6:$I$200,MATCH(18,Applications!$S$6:$S$200,0)),CHAR(10),", "),"  "," "),"")</f>
        <v/>
      </c>
      <c r="D24" s="260">
        <f t="array" ref="D24:D24">IFERROR(INDEX(Applications!$C$6:$C$200,MATCH(18,Applications!$S$6:$S$200,0)),"")</f>
        <v/>
      </c>
      <c r="E24" s="260">
        <f t="array" ref="E24:E24">IFERROR(INDEX(Applications!$D$6:$D$200,MATCH(18,Applications!$S$6:$S$200,0)),"")</f>
        <v/>
      </c>
      <c r="F24" s="259">
        <f t="array" ref="F24:F24">IFERROR(INDEX(Applications!$G$6:$G$200,MATCH(18,Applications!$S$6:$S$200,0)),"")</f>
        <v/>
      </c>
      <c r="G24" s="260">
        <f t="array" ref="G24:G24">IF(IFERROR(INDEX(Applications!$H$6:$H$200,MATCH(18,Applications!$S$6:$S$200,0)),"")=0,"",IFERROR(INDEX(Applications!$H$6:$H$200,MATCH(18,Applications!$S$6:$S$200,0)),""))</f>
        <v/>
      </c>
    </row>
    <row r="25" ht="15" customHeight="1" s="164">
      <c r="B25" s="259" t="n">
        <v>19</v>
      </c>
      <c r="C25" s="260">
        <f t="array" ref="C25:C25">IFERROR(SUBSTITUTE(SUBSTITUTE(INDEX(Applications!$I$6:$I$200,MATCH(19,Applications!$S$6:$S$200,0)),CHAR(10),", "),"  "," "),"")</f>
        <v/>
      </c>
      <c r="D25" s="260">
        <f t="array" ref="D25:D25">IFERROR(INDEX(Applications!$C$6:$C$200,MATCH(19,Applications!$S$6:$S$200,0)),"")</f>
        <v/>
      </c>
      <c r="E25" s="260">
        <f t="array" ref="E25:E25">IFERROR(INDEX(Applications!$D$6:$D$200,MATCH(19,Applications!$S$6:$S$200,0)),"")</f>
        <v/>
      </c>
      <c r="F25" s="259">
        <f t="array" ref="F25:F25">IFERROR(INDEX(Applications!$G$6:$G$200,MATCH(19,Applications!$S$6:$S$200,0)),"")</f>
        <v/>
      </c>
      <c r="G25" s="260">
        <f t="array" ref="G25:G25">IF(IFERROR(INDEX(Applications!$H$6:$H$200,MATCH(19,Applications!$S$6:$S$200,0)),"")=0,"",IFERROR(INDEX(Applications!$H$6:$H$200,MATCH(19,Applications!$S$6:$S$200,0)),""))</f>
        <v/>
      </c>
    </row>
    <row r="26" ht="15" customHeight="1" s="164">
      <c r="B26" s="259" t="n">
        <v>20</v>
      </c>
      <c r="C26" s="260">
        <f t="array" ref="C26:C26">IFERROR(SUBSTITUTE(SUBSTITUTE(INDEX(Applications!$I$6:$I$200,MATCH(20,Applications!$S$6:$S$200,0)),CHAR(10),", "),"  "," "),"")</f>
        <v/>
      </c>
      <c r="D26" s="260">
        <f t="array" ref="D26:D26">IFERROR(INDEX(Applications!$C$6:$C$200,MATCH(20,Applications!$S$6:$S$200,0)),"")</f>
        <v/>
      </c>
      <c r="E26" s="260">
        <f t="array" ref="E26:E26">IFERROR(INDEX(Applications!$D$6:$D$200,MATCH(20,Applications!$S$6:$S$200,0)),"")</f>
        <v/>
      </c>
      <c r="F26" s="259">
        <f t="array" ref="F26:F26">IFERROR(INDEX(Applications!$G$6:$G$200,MATCH(20,Applications!$S$6:$S$200,0)),"")</f>
        <v/>
      </c>
      <c r="G26" s="260">
        <f t="array" ref="G26:G26">IF(IFERROR(INDEX(Applications!$H$6:$H$200,MATCH(20,Applications!$S$6:$S$200,0)),"")=0,"",IFERROR(INDEX(Applications!$H$6:$H$200,MATCH(20,Applications!$S$6:$S$200,0)),""))</f>
        <v/>
      </c>
    </row>
    <row r="27" ht="23.25" customHeight="1" s="164">
      <c r="B27" s="259" t="n">
        <v>21</v>
      </c>
      <c r="C27" s="260">
        <f t="array" ref="C27:C27">IFERROR(SUBSTITUTE(SUBSTITUTE(INDEX(Applications!$I$6:$I$200,MATCH(21,Applications!$S$6:$S$200,0)),CHAR(10),", "),"  "," "),"")</f>
        <v/>
      </c>
      <c r="D27" s="260">
        <f t="array" ref="D27:D27">IFERROR(INDEX(Applications!$C$6:$C$200,MATCH(21,Applications!$S$6:$S$200,0)),"")</f>
        <v/>
      </c>
      <c r="E27" s="260">
        <f t="array" ref="E27:E27">IFERROR(INDEX(Applications!$D$6:$D$200,MATCH(21,Applications!$S$6:$S$200,0)),"")</f>
        <v/>
      </c>
      <c r="F27" s="259">
        <f t="array" ref="F27:F27">IFERROR(INDEX(Applications!$G$6:$G$200,MATCH(21,Applications!$S$6:$S$200,0)),"")</f>
        <v/>
      </c>
      <c r="G27" s="260">
        <f t="array" ref="G27:G27">IF(IFERROR(INDEX(Applications!$H$6:$H$200,MATCH(21,Applications!$S$6:$S$200,0)),"")=0,"",IFERROR(INDEX(Applications!$H$6:$H$200,MATCH(21,Applications!$S$6:$S$200,0)),""))</f>
        <v/>
      </c>
    </row>
    <row r="28" ht="15" customHeight="1" s="164">
      <c r="B28" s="259" t="n">
        <v>22</v>
      </c>
      <c r="C28" s="260">
        <f t="array" ref="C28:C28">IFERROR(SUBSTITUTE(SUBSTITUTE(INDEX(Applications!$I$6:$I$200,MATCH(22,Applications!$S$6:$S$200,0)),CHAR(10),", "),"  "," "),"")</f>
        <v/>
      </c>
      <c r="D28" s="260">
        <f t="array" ref="D28:D28">IFERROR(INDEX(Applications!$C$6:$C$200,MATCH(22,Applications!$S$6:$S$200,0)),"")</f>
        <v/>
      </c>
      <c r="E28" s="260">
        <f t="array" ref="E28:E28">IFERROR(INDEX(Applications!$D$6:$D$200,MATCH(22,Applications!$S$6:$S$200,0)),"")</f>
        <v/>
      </c>
      <c r="F28" s="259">
        <f t="array" ref="F28:F28">IFERROR(INDEX(Applications!$G$6:$G$200,MATCH(22,Applications!$S$6:$S$200,0)),"")</f>
        <v/>
      </c>
      <c r="G28" s="260">
        <f t="array" ref="G28:G28">IF(IFERROR(INDEX(Applications!$H$6:$H$200,MATCH(22,Applications!$S$6:$S$200,0)),"")=0,"",IFERROR(INDEX(Applications!$H$6:$H$200,MATCH(22,Applications!$S$6:$S$200,0)),""))</f>
        <v/>
      </c>
    </row>
    <row r="29" ht="15" customHeight="1" s="164">
      <c r="B29" s="259" t="n">
        <v>23</v>
      </c>
      <c r="C29" s="260">
        <f t="array" ref="C29:C29">IFERROR(SUBSTITUTE(SUBSTITUTE(INDEX(Applications!$I$6:$I$200,MATCH(23,Applications!$S$6:$S$200,0)),CHAR(10),", "),"  "," "),"")</f>
        <v/>
      </c>
      <c r="D29" s="260">
        <f t="array" ref="D29:D29">IFERROR(INDEX(Applications!$C$6:$C$200,MATCH(23,Applications!$S$6:$S$200,0)),"")</f>
        <v/>
      </c>
      <c r="E29" s="260">
        <f t="array" ref="E29:E29">IFERROR(INDEX(Applications!$D$6:$D$200,MATCH(23,Applications!$S$6:$S$200,0)),"")</f>
        <v/>
      </c>
      <c r="F29" s="259">
        <f t="array" ref="F29:F29">IFERROR(INDEX(Applications!$G$6:$G$200,MATCH(23,Applications!$S$6:$S$200,0)),"")</f>
        <v/>
      </c>
      <c r="G29" s="260">
        <f t="array" ref="G29:G29">IF(IFERROR(INDEX(Applications!$H$6:$H$200,MATCH(23,Applications!$S$6:$S$200,0)),"")=0,"",IFERROR(INDEX(Applications!$H$6:$H$200,MATCH(23,Applications!$S$6:$S$200,0)),""))</f>
        <v/>
      </c>
    </row>
    <row r="30" ht="15" customHeight="1" s="164">
      <c r="B30" s="259" t="n">
        <v>24</v>
      </c>
      <c r="C30" s="260">
        <f t="array" ref="C30:C30">IFERROR(SUBSTITUTE(SUBSTITUTE(INDEX(Applications!$I$6:$I$200,MATCH(24,Applications!$S$6:$S$200,0)),CHAR(10),", "),"  "," "),"")</f>
        <v/>
      </c>
      <c r="D30" s="260">
        <f t="array" ref="D30:D30">IFERROR(INDEX(Applications!$C$6:$C$200,MATCH(24,Applications!$S$6:$S$200,0)),"")</f>
        <v/>
      </c>
      <c r="E30" s="260">
        <f t="array" ref="E30:E30">IFERROR(INDEX(Applications!$D$6:$D$200,MATCH(24,Applications!$S$6:$S$200,0)),"")</f>
        <v/>
      </c>
      <c r="F30" s="259">
        <f t="array" ref="F30:F30">IFERROR(INDEX(Applications!$G$6:$G$200,MATCH(24,Applications!$S$6:$S$200,0)),"")</f>
        <v/>
      </c>
      <c r="G30" s="260">
        <f t="array" ref="G30:G30">IF(IFERROR(INDEX(Applications!$H$6:$H$200,MATCH(24,Applications!$S$6:$S$200,0)),"")=0,"",IFERROR(INDEX(Applications!$H$6:$H$200,MATCH(24,Applications!$S$6:$S$200,0)),""))</f>
        <v/>
      </c>
    </row>
    <row r="31" ht="23.25" customHeight="1" s="164">
      <c r="B31" s="259" t="n">
        <v>25</v>
      </c>
      <c r="C31" s="260">
        <f t="array" ref="C31:C31">IFERROR(SUBSTITUTE(SUBSTITUTE(INDEX(Applications!$I$6:$I$200,MATCH(25,Applications!$S$6:$S$200,0)),CHAR(10),", "),"  "," "),"")</f>
        <v/>
      </c>
      <c r="D31" s="260">
        <f t="array" ref="D31:D31">IFERROR(INDEX(Applications!$C$6:$C$200,MATCH(25,Applications!$S$6:$S$200,0)),"")</f>
        <v/>
      </c>
      <c r="E31" s="260">
        <f t="array" ref="E31:E31">IFERROR(INDEX(Applications!$D$6:$D$200,MATCH(25,Applications!$S$6:$S$200,0)),"")</f>
        <v/>
      </c>
      <c r="F31" s="259">
        <f t="array" ref="F31:F31">IFERROR(INDEX(Applications!$G$6:$G$200,MATCH(25,Applications!$S$6:$S$200,0)),"")</f>
        <v/>
      </c>
      <c r="G31" s="260">
        <f t="array" ref="G31:G31">IF(IFERROR(INDEX(Applications!$H$6:$H$200,MATCH(25,Applications!$S$6:$S$200,0)),"")=0,"",IFERROR(INDEX(Applications!$H$6:$H$200,MATCH(25,Applications!$S$6:$S$200,0)),""))</f>
        <v/>
      </c>
    </row>
    <row r="32" ht="23.25" customHeight="1" s="164">
      <c r="B32" s="259" t="n">
        <v>26</v>
      </c>
      <c r="C32" s="260">
        <f t="array" ref="C32:C32">IFERROR(SUBSTITUTE(SUBSTITUTE(INDEX(Applications!$I$6:$I$200,MATCH(26,Applications!$S$6:$S$200,0)),CHAR(10),", "),"  "," "),"")</f>
        <v/>
      </c>
      <c r="D32" s="260">
        <f t="array" ref="D32:D32">IFERROR(INDEX(Applications!$C$6:$C$200,MATCH(26,Applications!$S$6:$S$200,0)),"")</f>
        <v/>
      </c>
      <c r="E32" s="260">
        <f t="array" ref="E32:E32">IFERROR(INDEX(Applications!$D$6:$D$200,MATCH(26,Applications!$S$6:$S$200,0)),"")</f>
        <v/>
      </c>
      <c r="F32" s="259">
        <f t="array" ref="F32:F32">IFERROR(INDEX(Applications!$G$6:$G$200,MATCH(26,Applications!$S$6:$S$200,0)),"")</f>
        <v/>
      </c>
      <c r="G32" s="260">
        <f t="array" ref="G32:G32">IF(IFERROR(INDEX(Applications!$H$6:$H$200,MATCH(26,Applications!$S$6:$S$200,0)),"")=0,"",IFERROR(INDEX(Applications!$H$6:$H$200,MATCH(26,Applications!$S$6:$S$200,0)),""))</f>
        <v/>
      </c>
    </row>
    <row r="33" ht="15" customHeight="1" s="164">
      <c r="B33" s="259" t="n">
        <v>27</v>
      </c>
      <c r="C33" s="260">
        <f t="array" ref="C33:C33">IFERROR(SUBSTITUTE(SUBSTITUTE(INDEX(Applications!$I$6:$I$200,MATCH(27,Applications!$S$6:$S$200,0)),CHAR(10),", "),"  "," "),"")</f>
        <v/>
      </c>
      <c r="D33" s="260">
        <f t="array" ref="D33:D33">IFERROR(INDEX(Applications!$C$6:$C$200,MATCH(27,Applications!$S$6:$S$200,0)),"")</f>
        <v/>
      </c>
      <c r="E33" s="260">
        <f t="array" ref="E33:E33">IFERROR(INDEX(Applications!$D$6:$D$200,MATCH(27,Applications!$S$6:$S$200,0)),"")</f>
        <v/>
      </c>
      <c r="F33" s="259">
        <f t="array" ref="F33:F33">IFERROR(INDEX(Applications!$G$6:$G$200,MATCH(27,Applications!$S$6:$S$200,0)),"")</f>
        <v/>
      </c>
      <c r="G33" s="260">
        <f t="array" ref="G33:G33">IF(IFERROR(INDEX(Applications!$H$6:$H$200,MATCH(27,Applications!$S$6:$S$200,0)),"")=0,"",IFERROR(INDEX(Applications!$H$6:$H$200,MATCH(27,Applications!$S$6:$S$200,0)),""))</f>
        <v/>
      </c>
    </row>
    <row r="34" ht="15" customHeight="1" s="164">
      <c r="B34" s="259" t="n">
        <v>28</v>
      </c>
      <c r="C34" s="260">
        <f t="array" ref="C34:C34">IFERROR(SUBSTITUTE(SUBSTITUTE(INDEX(Applications!$I$6:$I$200,MATCH(28,Applications!$S$6:$S$200,0)),CHAR(10),", "),"  "," "),"")</f>
        <v/>
      </c>
      <c r="D34" s="260">
        <f t="array" ref="D34:D34">IFERROR(INDEX(Applications!$C$6:$C$200,MATCH(28,Applications!$S$6:$S$200,0)),"")</f>
        <v/>
      </c>
      <c r="E34" s="260">
        <f t="array" ref="E34:E34">IFERROR(INDEX(Applications!$D$6:$D$200,MATCH(28,Applications!$S$6:$S$200,0)),"")</f>
        <v/>
      </c>
      <c r="F34" s="259">
        <f t="array" ref="F34:F34">IFERROR(INDEX(Applications!$G$6:$G$200,MATCH(28,Applications!$S$6:$S$200,0)),"")</f>
        <v/>
      </c>
      <c r="G34" s="260">
        <f t="array" ref="G34:G34">IF(IFERROR(INDEX(Applications!$H$6:$H$200,MATCH(28,Applications!$S$6:$S$200,0)),"")=0,"",IFERROR(INDEX(Applications!$H$6:$H$200,MATCH(28,Applications!$S$6:$S$200,0)),""))</f>
        <v/>
      </c>
    </row>
    <row r="35" ht="15" customHeight="1" s="164">
      <c r="B35" s="259" t="n">
        <v>29</v>
      </c>
      <c r="C35" s="260">
        <f t="array" ref="C35:C35">IFERROR(SUBSTITUTE(SUBSTITUTE(INDEX(Applications!$I$6:$I$200,MATCH(29,Applications!$S$6:$S$200,0)),CHAR(10),", "),"  "," "),"")</f>
        <v/>
      </c>
      <c r="D35" s="260">
        <f t="array" ref="D35:D35">IFERROR(INDEX(Applications!$C$6:$C$200,MATCH(29,Applications!$S$6:$S$200,0)),"")</f>
        <v/>
      </c>
      <c r="E35" s="260">
        <f t="array" ref="E35:E35">IFERROR(INDEX(Applications!$D$6:$D$200,MATCH(29,Applications!$S$6:$S$200,0)),"")</f>
        <v/>
      </c>
      <c r="F35" s="259">
        <f t="array" ref="F35:F35">IFERROR(INDEX(Applications!$G$6:$G$200,MATCH(29,Applications!$S$6:$S$200,0)),"")</f>
        <v/>
      </c>
      <c r="G35" s="260">
        <f t="array" ref="G35:G35">IF(IFERROR(INDEX(Applications!$H$6:$H$200,MATCH(29,Applications!$S$6:$S$200,0)),"")=0,"",IFERROR(INDEX(Applications!$H$6:$H$200,MATCH(29,Applications!$S$6:$S$200,0)),""))</f>
        <v/>
      </c>
    </row>
    <row r="36" ht="15" customHeight="1" s="164">
      <c r="B36" s="259" t="n">
        <v>30</v>
      </c>
      <c r="C36" s="260">
        <f t="array" ref="C36:C36">IFERROR(SUBSTITUTE(SUBSTITUTE(INDEX(Applications!$I$6:$I$200,MATCH(30,Applications!$S$6:$S$200,0)),CHAR(10),", "),"  "," "),"")</f>
        <v/>
      </c>
      <c r="D36" s="260">
        <f t="array" ref="D36:D36">IFERROR(INDEX(Applications!$C$6:$C$200,MATCH(30,Applications!$S$6:$S$200,0)),"")</f>
        <v/>
      </c>
      <c r="E36" s="260">
        <f t="array" ref="E36:E36">IFERROR(INDEX(Applications!$D$6:$D$200,MATCH(30,Applications!$S$6:$S$200,0)),"")</f>
        <v/>
      </c>
      <c r="F36" s="259">
        <f t="array" ref="F36:F36">IFERROR(INDEX(Applications!$G$6:$G$200,MATCH(30,Applications!$S$6:$S$200,0)),"")</f>
        <v/>
      </c>
      <c r="G36" s="260">
        <f t="array" ref="G36:G36">IF(IFERROR(INDEX(Applications!$H$6:$H$200,MATCH(30,Applications!$S$6:$S$200,0)),"")=0,"",IFERROR(INDEX(Applications!$H$6:$H$200,MATCH(30,Applications!$S$6:$S$200,0)),""))</f>
        <v/>
      </c>
    </row>
    <row r="37" ht="15" customHeight="1" s="164"/>
    <row r="38" ht="15" customHeight="1" s="164"/>
    <row r="39" ht="15" customHeight="1" s="164"/>
    <row r="40" ht="15" customHeight="1" s="164"/>
    <row r="41" ht="15" customHeight="1" s="164"/>
    <row r="42" ht="15" customHeight="1" s="164"/>
    <row r="43" ht="15" customHeight="1" s="164"/>
    <row r="44" ht="15" customHeight="1" s="164"/>
    <row r="45" ht="15" customHeight="1" s="164"/>
    <row r="46" ht="15" customHeight="1" s="164"/>
    <row r="47" ht="15" customHeight="1" s="164"/>
    <row r="48" ht="15" customHeight="1" s="164"/>
    <row r="49" ht="15" customHeight="1" s="164"/>
    <row r="50" ht="15" customHeight="1" s="164"/>
    <row r="51" ht="15" customHeight="1" s="164"/>
    <row r="52" ht="15" customHeight="1" s="164"/>
    <row r="53" ht="15" customHeight="1" s="164"/>
    <row r="54" ht="15" customHeight="1" s="164"/>
    <row r="55" ht="15" customHeight="1" s="164"/>
    <row r="56" ht="15" customHeight="1" s="164"/>
    <row r="57" ht="15" customHeight="1" s="164"/>
    <row r="58" ht="15" customHeight="1" s="164"/>
    <row r="59" ht="15" customHeight="1" s="164"/>
    <row r="60" ht="15" customHeight="1" s="164"/>
    <row r="61" ht="15" customHeight="1" s="164"/>
    <row r="62" ht="15" customHeight="1" s="164"/>
    <row r="63" ht="15" customHeight="1" s="164"/>
    <row r="64" ht="15" customHeight="1" s="164"/>
    <row r="65" ht="15" customHeight="1" s="164"/>
    <row r="66" ht="15" customHeight="1" s="164"/>
    <row r="67" ht="15" customHeight="1" s="164"/>
    <row r="68" ht="15" customHeight="1" s="164"/>
    <row r="69" ht="15" customHeight="1" s="164"/>
    <row r="70" ht="15" customHeight="1" s="164"/>
    <row r="71" ht="15" customHeight="1" s="164"/>
    <row r="72" ht="15" customHeight="1" s="164"/>
    <row r="73" ht="15" customHeight="1" s="164"/>
    <row r="74" ht="15" customHeight="1" s="164"/>
    <row r="75" ht="15" customHeight="1" s="164"/>
    <row r="76" ht="15" customHeight="1" s="164"/>
    <row r="77" ht="15" customHeight="1" s="164"/>
    <row r="78" ht="15" customHeight="1" s="164"/>
    <row r="79" ht="15" customHeight="1" s="164"/>
    <row r="80" ht="15" customHeight="1" s="164"/>
    <row r="81" ht="15" customHeight="1" s="164"/>
    <row r="82" ht="15" customHeight="1" s="164"/>
    <row r="83" ht="15" customHeight="1" s="164"/>
    <row r="84" ht="15" customHeight="1" s="164"/>
    <row r="85" ht="15" customHeight="1" s="164"/>
    <row r="86" ht="15" customHeight="1" s="164"/>
    <row r="87" ht="15" customHeight="1" s="164"/>
    <row r="88" ht="15" customHeight="1" s="164"/>
    <row r="89" ht="15" customHeight="1" s="164"/>
    <row r="90" ht="15" customHeight="1" s="164"/>
    <row r="91" ht="15" customHeight="1" s="164"/>
    <row r="92" ht="15" customHeight="1" s="164"/>
    <row r="93" ht="15" customHeight="1" s="164"/>
    <row r="94" ht="15" customHeight="1" s="164"/>
    <row r="95" ht="15" customHeight="1" s="164"/>
    <row r="96" ht="15" customHeight="1" s="164"/>
    <row r="97" ht="15" customHeight="1" s="164"/>
    <row r="98" ht="15" customHeight="1" s="164"/>
    <row r="99" ht="15" customHeight="1" s="164"/>
    <row r="100" ht="15" customHeight="1" s="164"/>
    <row r="101" ht="15" customHeight="1" s="164"/>
    <row r="102" ht="15" customHeight="1" s="164"/>
    <row r="103" ht="15" customHeight="1" s="164"/>
    <row r="104" ht="15" customHeight="1" s="164"/>
    <row r="105" ht="15" customHeight="1" s="164"/>
    <row r="106" ht="15" customHeight="1" s="164"/>
    <row r="107" ht="15" customHeight="1" s="164"/>
    <row r="108" ht="15" customHeight="1" s="164"/>
    <row r="109" ht="15" customHeight="1" s="164"/>
    <row r="110" ht="15" customHeight="1" s="164"/>
    <row r="111" ht="15" customHeight="1" s="164"/>
    <row r="112" ht="15" customHeight="1" s="164"/>
    <row r="113" ht="15" customHeight="1" s="164"/>
    <row r="114" ht="15" customHeight="1" s="164"/>
    <row r="115" ht="15" customHeight="1" s="164"/>
    <row r="116" ht="15" customHeight="1" s="164"/>
    <row r="117" ht="15" customHeight="1" s="164"/>
    <row r="118" ht="15" customHeight="1" s="164"/>
    <row r="119" ht="15" customHeight="1" s="164"/>
    <row r="120" ht="15" customHeight="1" s="164"/>
    <row r="121" ht="15" customHeight="1" s="164"/>
    <row r="122" ht="15" customHeight="1" s="164"/>
    <row r="123" ht="15" customHeight="1" s="164"/>
    <row r="124" ht="15" customHeight="1" s="164"/>
    <row r="125" ht="15" customHeight="1" s="164"/>
    <row r="126" ht="15" customHeight="1" s="164"/>
    <row r="127" ht="15" customHeight="1" s="164"/>
    <row r="128" ht="15" customHeight="1" s="164"/>
    <row r="129" ht="15" customHeight="1" s="164"/>
    <row r="130" ht="15" customHeight="1" s="164"/>
    <row r="131" ht="15" customHeight="1" s="164"/>
    <row r="132" ht="15" customHeight="1" s="164"/>
    <row r="133" ht="15" customHeight="1" s="164"/>
    <row r="134" ht="15" customHeight="1" s="164"/>
    <row r="135" ht="15" customHeight="1" s="164"/>
    <row r="136" ht="15" customHeight="1" s="164"/>
    <row r="137" ht="15" customHeight="1" s="164"/>
    <row r="138" ht="15" customHeight="1" s="164"/>
    <row r="139" ht="15" customHeight="1" s="164"/>
    <row r="140" ht="15" customHeight="1" s="164"/>
    <row r="141" ht="15" customHeight="1" s="164"/>
    <row r="142" ht="15" customHeight="1" s="164"/>
    <row r="143" ht="15" customHeight="1" s="164"/>
    <row r="144" ht="15" customHeight="1" s="164"/>
    <row r="145" ht="15" customHeight="1" s="164"/>
    <row r="146" ht="15" customHeight="1" s="164"/>
    <row r="147" ht="15" customHeight="1" s="164"/>
    <row r="148" ht="15" customHeight="1" s="164"/>
    <row r="149" ht="15" customHeight="1" s="164"/>
    <row r="150" ht="15" customHeight="1" s="164"/>
    <row r="151" ht="15" customHeight="1" s="164"/>
    <row r="152" ht="15" customHeight="1" s="164"/>
    <row r="153" ht="15" customHeight="1" s="164"/>
    <row r="154" ht="15" customHeight="1" s="164"/>
    <row r="155" ht="15" customHeight="1" s="164"/>
    <row r="156" ht="15" customHeight="1" s="164"/>
    <row r="157" ht="15" customHeight="1" s="164"/>
    <row r="158" ht="15" customHeight="1" s="164"/>
    <row r="159" ht="15" customHeight="1" s="164"/>
    <row r="160" ht="15" customHeight="1" s="164"/>
    <row r="161" ht="15" customHeight="1" s="164"/>
    <row r="162" ht="15" customHeight="1" s="164"/>
    <row r="163" ht="15" customHeight="1" s="164"/>
    <row r="164" ht="15" customHeight="1" s="164"/>
    <row r="165" ht="15" customHeight="1" s="164"/>
    <row r="166" ht="15" customHeight="1" s="164"/>
    <row r="167" ht="15" customHeight="1" s="164"/>
    <row r="168" ht="15" customHeight="1" s="164"/>
    <row r="169" ht="15" customHeight="1" s="164"/>
    <row r="170" ht="15" customHeight="1" s="164"/>
    <row r="171" ht="15" customHeight="1" s="164"/>
    <row r="172" ht="15" customHeight="1" s="164"/>
    <row r="173" ht="15" customHeight="1" s="164"/>
    <row r="174" ht="15" customHeight="1" s="164"/>
    <row r="175" ht="15" customHeight="1" s="164"/>
    <row r="176" ht="15" customHeight="1" s="164"/>
    <row r="177" ht="15" customHeight="1" s="164"/>
    <row r="178" ht="15" customHeight="1" s="164"/>
    <row r="179" ht="15" customHeight="1" s="164"/>
    <row r="180" ht="15" customHeight="1" s="164"/>
    <row r="181" ht="15" customHeight="1" s="164"/>
    <row r="182" ht="15" customHeight="1" s="164"/>
    <row r="183" ht="15" customHeight="1" s="164"/>
    <row r="184" ht="15" customHeight="1" s="164"/>
    <row r="185" ht="15" customHeight="1" s="164"/>
    <row r="186" ht="15" customHeight="1" s="164"/>
    <row r="187" ht="15" customHeight="1" s="164"/>
    <row r="188" ht="15" customHeight="1" s="164"/>
    <row r="189" ht="15" customHeight="1" s="164"/>
    <row r="190" ht="15" customHeight="1" s="164"/>
    <row r="191" ht="15" customHeight="1" s="164"/>
    <row r="192" ht="15" customHeight="1" s="164"/>
    <row r="193" ht="15" customHeight="1" s="164"/>
    <row r="194" ht="15" customHeight="1" s="164"/>
    <row r="195" ht="15" customHeight="1" s="164"/>
    <row r="196" ht="15" customHeight="1" s="164"/>
    <row r="197" ht="15" customHeight="1" s="164"/>
    <row r="198" ht="15" customHeight="1" s="164"/>
    <row r="199" ht="15" customHeight="1" s="164"/>
    <row r="200" ht="15" customHeight="1" s="164"/>
    <row r="201" ht="15" customHeight="1" s="164"/>
    <row r="202" ht="15" customHeight="1" s="164"/>
    <row r="203" ht="15" customHeight="1" s="164"/>
    <row r="204" ht="15" customHeight="1" s="164"/>
    <row r="205" ht="15" customHeight="1" s="164"/>
    <row r="206" ht="15" customHeight="1" s="164"/>
    <row r="207" ht="15" customHeight="1" s="164"/>
    <row r="208" ht="15" customHeight="1" s="164"/>
    <row r="209" ht="15" customHeight="1" s="164"/>
    <row r="210" ht="15" customHeight="1" s="164"/>
    <row r="211" ht="15" customHeight="1" s="164"/>
    <row r="212" ht="15" customHeight="1" s="164"/>
    <row r="213" ht="15" customHeight="1" s="164"/>
    <row r="214" ht="15" customHeight="1" s="164"/>
    <row r="215" ht="15" customHeight="1" s="164"/>
    <row r="216" ht="15" customHeight="1" s="164"/>
    <row r="217" ht="15" customHeight="1" s="164"/>
    <row r="218" ht="15" customHeight="1" s="164"/>
    <row r="219" ht="15" customHeight="1" s="164"/>
    <row r="220" ht="15" customHeight="1" s="164"/>
    <row r="221" ht="15" customHeight="1" s="164"/>
    <row r="222" ht="15" customHeight="1" s="164"/>
    <row r="223" ht="15" customHeight="1" s="164"/>
    <row r="224" ht="15" customHeight="1" s="164"/>
    <row r="225" ht="15" customHeight="1" s="164"/>
    <row r="226" ht="15" customHeight="1" s="164"/>
    <row r="227" ht="15" customHeight="1" s="164"/>
    <row r="228" ht="15" customHeight="1" s="164"/>
    <row r="229" ht="15" customHeight="1" s="164"/>
    <row r="230" ht="15" customHeight="1" s="164"/>
    <row r="231" ht="15" customHeight="1" s="164"/>
    <row r="232" ht="15" customHeight="1" s="164"/>
    <row r="233" ht="15" customHeight="1" s="164"/>
    <row r="234" ht="15" customHeight="1" s="164"/>
    <row r="235" ht="15" customHeight="1" s="164"/>
    <row r="236" ht="1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15">
    <mergeCell ref="B2:G3"/>
    <mergeCell ref="AB1:AC1"/>
    <mergeCell ref="D1:E1"/>
    <mergeCell ref="X1:Y1"/>
    <mergeCell ref="V1:W1"/>
    <mergeCell ref="T1:U1"/>
    <mergeCell ref="H1:I1"/>
    <mergeCell ref="Z1:AA1"/>
    <mergeCell ref="L1:M1"/>
    <mergeCell ref="J1:K1"/>
    <mergeCell ref="P1:Q1"/>
    <mergeCell ref="F1:G1"/>
    <mergeCell ref="B1:C1"/>
    <mergeCell ref="N1:O1"/>
    <mergeCell ref="R1:S1"/>
  </mergeCells>
  <conditionalFormatting sqref="B7:G36">
    <cfRule type="expression" rank="0" priority="2" equalAverage="0" aboveAverage="0" dxfId="0" text="" percent="0" bottom="0">
      <formula>$F7="Entretien"</formula>
    </cfRule>
    <cfRule type="expression" rank="0" priority="3" equalAverage="0" aboveAverage="0" dxfId="27" text="" percent="0" bottom="0">
      <formula>$F7="Offre"</formula>
    </cfRule>
  </conditionalFormatting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N1" location="'Calendrier Activité'!A1" display="CALENDRIER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B1:AC1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10" customWidth="1" style="163" min="2" max="2"/>
    <col width="7" customWidth="1" style="163" min="3" max="9"/>
    <col width="8.710000000000001" customWidth="1" style="163" min="10" max="29"/>
  </cols>
  <sheetData>
    <row r="1" ht="19.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5" t="inlineStr">
        <is>
          <t>CALENDRIER</t>
        </is>
      </c>
      <c r="P1" s="166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CALENDRIER D'ACTIVITÉ — CANDIDATURES ENVOYÉES PAR JOUR</t>
        </is>
      </c>
    </row>
    <row r="3" ht="15" customHeight="1" s="164"/>
    <row r="4" ht="15" customHeight="1" s="164">
      <c r="B4" s="258" t="inlineStr">
        <is>
          <t>Plus la case est foncée, plus vous avez envoyé de candidatures ce jour-là.</t>
        </is>
      </c>
    </row>
    <row r="5" ht="15" customHeight="1" s="164"/>
    <row r="6" ht="25.5" customHeight="1" s="164">
      <c r="B6" s="204" t="inlineStr">
        <is>
          <t>Semaine</t>
        </is>
      </c>
      <c r="C6" s="204" t="inlineStr">
        <is>
          <t>Lun</t>
        </is>
      </c>
      <c r="D6" s="204" t="inlineStr">
        <is>
          <t>Mar</t>
        </is>
      </c>
      <c r="E6" s="204" t="inlineStr">
        <is>
          <t>Mer</t>
        </is>
      </c>
      <c r="F6" s="204" t="inlineStr">
        <is>
          <t>Jeu</t>
        </is>
      </c>
      <c r="G6" s="204" t="inlineStr">
        <is>
          <t>Ven</t>
        </is>
      </c>
      <c r="H6" s="204" t="inlineStr">
        <is>
          <t>Sam</t>
        </is>
      </c>
      <c r="I6" s="204" t="inlineStr">
        <is>
          <t>Dim</t>
        </is>
      </c>
      <c r="K6" s="208" t="n"/>
    </row>
    <row r="7" ht="15" customHeight="1" s="164">
      <c r="B7" s="261">
        <f>IFERROR(MIN(Applications!$F$6:$F$200)-WEEKDAY(MIN(Applications!$F$6:$F$200),3),TODAY())</f>
        <v/>
      </c>
      <c r="C7" s="262">
        <f>COUNTIF(Applications!$F$6:$F$200,$B7+0)</f>
        <v/>
      </c>
      <c r="D7" s="262">
        <f>COUNTIF(Applications!$F$6:$F$200,$B7+1)</f>
        <v/>
      </c>
      <c r="E7" s="262">
        <f>COUNTIF(Applications!$F$6:$F$200,$B7+2)</f>
        <v/>
      </c>
      <c r="F7" s="262">
        <f>COUNTIF(Applications!$F$6:$F$200,$B7+3)</f>
        <v/>
      </c>
      <c r="G7" s="262">
        <f>COUNTIF(Applications!$F$6:$F$200,$B7+4)</f>
        <v/>
      </c>
      <c r="H7" s="262">
        <f>COUNTIF(Applications!$F$6:$F$200,$B7+5)</f>
        <v/>
      </c>
      <c r="I7" s="262">
        <f>COUNTIF(Applications!$F$6:$F$200,$B7+6)</f>
        <v/>
      </c>
    </row>
    <row r="8" ht="15" customHeight="1" s="164">
      <c r="B8" s="261">
        <f>B7+7</f>
        <v/>
      </c>
      <c r="C8" s="262">
        <f>COUNTIF(Applications!$F$6:$F$200,$B8+0)</f>
        <v/>
      </c>
      <c r="D8" s="262">
        <f>COUNTIF(Applications!$F$6:$F$200,$B8+1)</f>
        <v/>
      </c>
      <c r="E8" s="262">
        <f>COUNTIF(Applications!$F$6:$F$200,$B8+2)</f>
        <v/>
      </c>
      <c r="F8" s="262">
        <f>COUNTIF(Applications!$F$6:$F$200,$B8+3)</f>
        <v/>
      </c>
      <c r="G8" s="262">
        <f>COUNTIF(Applications!$F$6:$F$200,$B8+4)</f>
        <v/>
      </c>
      <c r="H8" s="262">
        <f>COUNTIF(Applications!$F$6:$F$200,$B8+5)</f>
        <v/>
      </c>
      <c r="I8" s="262">
        <f>COUNTIF(Applications!$F$6:$F$200,$B8+6)</f>
        <v/>
      </c>
      <c r="K8" s="211" t="inlineStr">
        <is>
          <t>Semaine</t>
        </is>
      </c>
      <c r="L8" s="211" t="inlineStr">
        <is>
          <t>Total</t>
        </is>
      </c>
    </row>
    <row r="9" ht="15" customHeight="1" s="164">
      <c r="B9" s="261">
        <f>B8+7</f>
        <v/>
      </c>
      <c r="C9" s="262">
        <f>COUNTIF(Applications!$F$6:$F$200,$B9+0)</f>
        <v/>
      </c>
      <c r="D9" s="262">
        <f>COUNTIF(Applications!$F$6:$F$200,$B9+1)</f>
        <v/>
      </c>
      <c r="E9" s="262">
        <f>COUNTIF(Applications!$F$6:$F$200,$B9+2)</f>
        <v/>
      </c>
      <c r="F9" s="262">
        <f>COUNTIF(Applications!$F$6:$F$200,$B9+3)</f>
        <v/>
      </c>
      <c r="G9" s="262">
        <f>COUNTIF(Applications!$F$6:$F$200,$B9+4)</f>
        <v/>
      </c>
      <c r="H9" s="262">
        <f>COUNTIF(Applications!$F$6:$F$200,$B9+5)</f>
        <v/>
      </c>
      <c r="I9" s="262">
        <f>COUNTIF(Applications!$F$6:$F$200,$B9+6)</f>
        <v/>
      </c>
      <c r="K9" s="195" t="inlineStr">
        <is>
          <t>S1</t>
        </is>
      </c>
      <c r="L9" s="195">
        <f>SUM(C7:I7)</f>
        <v/>
      </c>
    </row>
    <row r="10" ht="15" customHeight="1" s="164">
      <c r="B10" s="261">
        <f>B9+7</f>
        <v/>
      </c>
      <c r="C10" s="262">
        <f>COUNTIF(Applications!$F$6:$F$200,$B10+0)</f>
        <v/>
      </c>
      <c r="D10" s="262">
        <f>COUNTIF(Applications!$F$6:$F$200,$B10+1)</f>
        <v/>
      </c>
      <c r="E10" s="262">
        <f>COUNTIF(Applications!$F$6:$F$200,$B10+2)</f>
        <v/>
      </c>
      <c r="F10" s="262">
        <f>COUNTIF(Applications!$F$6:$F$200,$B10+3)</f>
        <v/>
      </c>
      <c r="G10" s="262">
        <f>COUNTIF(Applications!$F$6:$F$200,$B10+4)</f>
        <v/>
      </c>
      <c r="H10" s="262">
        <f>COUNTIF(Applications!$F$6:$F$200,$B10+5)</f>
        <v/>
      </c>
      <c r="I10" s="262">
        <f>COUNTIF(Applications!$F$6:$F$200,$B10+6)</f>
        <v/>
      </c>
      <c r="K10" s="195" t="inlineStr">
        <is>
          <t>S2</t>
        </is>
      </c>
      <c r="L10" s="195">
        <f>SUM(C8:I8)</f>
        <v/>
      </c>
    </row>
    <row r="11" ht="15" customHeight="1" s="164">
      <c r="B11" s="261">
        <f>B10+7</f>
        <v/>
      </c>
      <c r="C11" s="262">
        <f>COUNTIF(Applications!$F$6:$F$200,$B11+0)</f>
        <v/>
      </c>
      <c r="D11" s="262">
        <f>COUNTIF(Applications!$F$6:$F$200,$B11+1)</f>
        <v/>
      </c>
      <c r="E11" s="262">
        <f>COUNTIF(Applications!$F$6:$F$200,$B11+2)</f>
        <v/>
      </c>
      <c r="F11" s="262">
        <f>COUNTIF(Applications!$F$6:$F$200,$B11+3)</f>
        <v/>
      </c>
      <c r="G11" s="262">
        <f>COUNTIF(Applications!$F$6:$F$200,$B11+4)</f>
        <v/>
      </c>
      <c r="H11" s="262">
        <f>COUNTIF(Applications!$F$6:$F$200,$B11+5)</f>
        <v/>
      </c>
      <c r="I11" s="262">
        <f>COUNTIF(Applications!$F$6:$F$200,$B11+6)</f>
        <v/>
      </c>
      <c r="K11" s="195" t="inlineStr">
        <is>
          <t>S3</t>
        </is>
      </c>
      <c r="L11" s="195">
        <f>SUM(C9:I9)</f>
        <v/>
      </c>
    </row>
    <row r="12" ht="15" customHeight="1" s="164">
      <c r="B12" s="261">
        <f>B11+7</f>
        <v/>
      </c>
      <c r="C12" s="262">
        <f>COUNTIF(Applications!$F$6:$F$200,$B12+0)</f>
        <v/>
      </c>
      <c r="D12" s="262">
        <f>COUNTIF(Applications!$F$6:$F$200,$B12+1)</f>
        <v/>
      </c>
      <c r="E12" s="262">
        <f>COUNTIF(Applications!$F$6:$F$200,$B12+2)</f>
        <v/>
      </c>
      <c r="F12" s="262">
        <f>COUNTIF(Applications!$F$6:$F$200,$B12+3)</f>
        <v/>
      </c>
      <c r="G12" s="262">
        <f>COUNTIF(Applications!$F$6:$F$200,$B12+4)</f>
        <v/>
      </c>
      <c r="H12" s="262">
        <f>COUNTIF(Applications!$F$6:$F$200,$B12+5)</f>
        <v/>
      </c>
      <c r="I12" s="262">
        <f>COUNTIF(Applications!$F$6:$F$200,$B12+6)</f>
        <v/>
      </c>
      <c r="K12" s="195" t="inlineStr">
        <is>
          <t>S4</t>
        </is>
      </c>
      <c r="L12" s="195">
        <f>SUM(C10:I10)</f>
        <v/>
      </c>
    </row>
    <row r="13" ht="15" customHeight="1" s="164">
      <c r="B13" s="261">
        <f>B12+7</f>
        <v/>
      </c>
      <c r="C13" s="262">
        <f>COUNTIF(Applications!$F$6:$F$200,$B13+0)</f>
        <v/>
      </c>
      <c r="D13" s="262">
        <f>COUNTIF(Applications!$F$6:$F$200,$B13+1)</f>
        <v/>
      </c>
      <c r="E13" s="262">
        <f>COUNTIF(Applications!$F$6:$F$200,$B13+2)</f>
        <v/>
      </c>
      <c r="F13" s="262">
        <f>COUNTIF(Applications!$F$6:$F$200,$B13+3)</f>
        <v/>
      </c>
      <c r="G13" s="262">
        <f>COUNTIF(Applications!$F$6:$F$200,$B13+4)</f>
        <v/>
      </c>
      <c r="H13" s="262">
        <f>COUNTIF(Applications!$F$6:$F$200,$B13+5)</f>
        <v/>
      </c>
      <c r="I13" s="262">
        <f>COUNTIF(Applications!$F$6:$F$200,$B13+6)</f>
        <v/>
      </c>
      <c r="K13" s="195" t="inlineStr">
        <is>
          <t>S5</t>
        </is>
      </c>
      <c r="L13" s="195">
        <f>SUM(C11:I11)</f>
        <v/>
      </c>
    </row>
    <row r="14" ht="15" customHeight="1" s="164">
      <c r="B14" s="261">
        <f>B13+7</f>
        <v/>
      </c>
      <c r="C14" s="262">
        <f>COUNTIF(Applications!$F$6:$F$200,$B14+0)</f>
        <v/>
      </c>
      <c r="D14" s="262">
        <f>COUNTIF(Applications!$F$6:$F$200,$B14+1)</f>
        <v/>
      </c>
      <c r="E14" s="262">
        <f>COUNTIF(Applications!$F$6:$F$200,$B14+2)</f>
        <v/>
      </c>
      <c r="F14" s="262">
        <f>COUNTIF(Applications!$F$6:$F$200,$B14+3)</f>
        <v/>
      </c>
      <c r="G14" s="262">
        <f>COUNTIF(Applications!$F$6:$F$200,$B14+4)</f>
        <v/>
      </c>
      <c r="H14" s="262">
        <f>COUNTIF(Applications!$F$6:$F$200,$B14+5)</f>
        <v/>
      </c>
      <c r="I14" s="262">
        <f>COUNTIF(Applications!$F$6:$F$200,$B14+6)</f>
        <v/>
      </c>
      <c r="K14" s="195" t="inlineStr">
        <is>
          <t>S6</t>
        </is>
      </c>
      <c r="L14" s="195">
        <f>SUM(C12:I12)</f>
        <v/>
      </c>
    </row>
    <row r="15" ht="15" customHeight="1" s="164">
      <c r="B15" s="261">
        <f>B14+7</f>
        <v/>
      </c>
      <c r="C15" s="262">
        <f>COUNTIF(Applications!$F$6:$F$200,$B15+0)</f>
        <v/>
      </c>
      <c r="D15" s="262">
        <f>COUNTIF(Applications!$F$6:$F$200,$B15+1)</f>
        <v/>
      </c>
      <c r="E15" s="262">
        <f>COUNTIF(Applications!$F$6:$F$200,$B15+2)</f>
        <v/>
      </c>
      <c r="F15" s="262">
        <f>COUNTIF(Applications!$F$6:$F$200,$B15+3)</f>
        <v/>
      </c>
      <c r="G15" s="262">
        <f>COUNTIF(Applications!$F$6:$F$200,$B15+4)</f>
        <v/>
      </c>
      <c r="H15" s="262">
        <f>COUNTIF(Applications!$F$6:$F$200,$B15+5)</f>
        <v/>
      </c>
      <c r="I15" s="262">
        <f>COUNTIF(Applications!$F$6:$F$200,$B15+6)</f>
        <v/>
      </c>
      <c r="K15" s="195" t="inlineStr">
        <is>
          <t>S7</t>
        </is>
      </c>
      <c r="L15" s="195">
        <f>SUM(C13:I13)</f>
        <v/>
      </c>
    </row>
    <row r="16" ht="15" customHeight="1" s="164">
      <c r="B16" s="261">
        <f>B15+7</f>
        <v/>
      </c>
      <c r="C16" s="262">
        <f>COUNTIF(Applications!$F$6:$F$200,$B16+0)</f>
        <v/>
      </c>
      <c r="D16" s="262">
        <f>COUNTIF(Applications!$F$6:$F$200,$B16+1)</f>
        <v/>
      </c>
      <c r="E16" s="262">
        <f>COUNTIF(Applications!$F$6:$F$200,$B16+2)</f>
        <v/>
      </c>
      <c r="F16" s="262">
        <f>COUNTIF(Applications!$F$6:$F$200,$B16+3)</f>
        <v/>
      </c>
      <c r="G16" s="262">
        <f>COUNTIF(Applications!$F$6:$F$200,$B16+4)</f>
        <v/>
      </c>
      <c r="H16" s="262">
        <f>COUNTIF(Applications!$F$6:$F$200,$B16+5)</f>
        <v/>
      </c>
      <c r="I16" s="262">
        <f>COUNTIF(Applications!$F$6:$F$200,$B16+6)</f>
        <v/>
      </c>
      <c r="K16" s="195" t="inlineStr">
        <is>
          <t>S8</t>
        </is>
      </c>
      <c r="L16" s="195">
        <f>SUM(C14:I14)</f>
        <v/>
      </c>
    </row>
    <row r="17" ht="15" customHeight="1" s="164">
      <c r="K17" s="195" t="inlineStr">
        <is>
          <t>S9</t>
        </is>
      </c>
      <c r="L17" s="195">
        <f>SUM(C15:I15)</f>
        <v/>
      </c>
    </row>
    <row r="18" ht="15" customHeight="1" s="164">
      <c r="K18" s="195" t="inlineStr">
        <is>
          <t>S10</t>
        </is>
      </c>
      <c r="L18" s="195">
        <f>SUM(C16:I16)</f>
        <v/>
      </c>
    </row>
    <row r="19" ht="15" customHeight="1" s="164"/>
    <row r="20" ht="15" customHeight="1" s="164"/>
    <row r="21" ht="15.75" customHeight="1" s="164"/>
    <row r="22" ht="15.75" customHeight="1" s="164"/>
    <row r="23" ht="15.75" customHeight="1" s="164"/>
    <row r="24" ht="15.75" customHeight="1" s="164"/>
    <row r="25" ht="15.75" customHeight="1" s="164"/>
    <row r="26" ht="15.75" customHeight="1" s="164"/>
    <row r="27" ht="15.75" customHeight="1" s="164"/>
    <row r="28" ht="15.75" customHeight="1" s="164"/>
    <row r="29" ht="15.75" customHeight="1" s="164"/>
    <row r="30" ht="15.75" customHeight="1" s="164"/>
    <row r="31" ht="15.75" customHeight="1" s="164"/>
    <row r="32" ht="15.75" customHeight="1" s="164"/>
    <row r="33" ht="15.75" customHeight="1" s="164"/>
    <row r="34" ht="15.75" customHeight="1" s="164"/>
    <row r="35" ht="15.75" customHeight="1" s="164"/>
    <row r="36" ht="15.75" customHeight="1" s="164"/>
    <row r="37" ht="15.75" customHeight="1" s="164"/>
    <row r="38" ht="15.75" customHeight="1" s="164"/>
    <row r="39" ht="15.75" customHeight="1" s="164"/>
    <row r="40" ht="15.75" customHeight="1" s="164"/>
    <row r="41" ht="15.75" customHeight="1" s="164"/>
    <row r="42" ht="15.75" customHeight="1" s="164"/>
    <row r="43" ht="15.75" customHeight="1" s="164"/>
    <row r="44" ht="15.75" customHeight="1" s="164"/>
    <row r="45" ht="15.75" customHeight="1" s="164"/>
    <row r="46" ht="15.75" customHeight="1" s="164"/>
    <row r="47" ht="15.75" customHeight="1" s="164"/>
    <row r="48" ht="15.75" customHeight="1" s="164"/>
    <row r="49" ht="15.75" customHeight="1" s="164"/>
    <row r="50" ht="15.75" customHeight="1" s="164"/>
    <row r="51" ht="15.75" customHeight="1" s="164"/>
    <row r="52" ht="15.75" customHeight="1" s="164"/>
    <row r="53" ht="15.75" customHeight="1" s="164"/>
    <row r="54" ht="15.75" customHeight="1" s="164"/>
    <row r="55" ht="15.75" customHeight="1" s="164"/>
    <row r="56" ht="15.75" customHeight="1" s="164"/>
    <row r="57" ht="15.75" customHeight="1" s="164"/>
    <row r="58" ht="15.75" customHeight="1" s="164"/>
    <row r="59" ht="15.75" customHeight="1" s="164"/>
    <row r="60" ht="15.7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15">
    <mergeCell ref="B2:J3"/>
    <mergeCell ref="AB1:AC1"/>
    <mergeCell ref="D1:E1"/>
    <mergeCell ref="X1:Y1"/>
    <mergeCell ref="V1:W1"/>
    <mergeCell ref="T1:U1"/>
    <mergeCell ref="H1:I1"/>
    <mergeCell ref="Z1:AA1"/>
    <mergeCell ref="L1:M1"/>
    <mergeCell ref="J1:K1"/>
    <mergeCell ref="P1:Q1"/>
    <mergeCell ref="F1:G1"/>
    <mergeCell ref="B1:C1"/>
    <mergeCell ref="N1:O1"/>
    <mergeCell ref="R1:S1"/>
  </mergeCells>
  <conditionalFormatting sqref="C7:I16">
    <cfRule type="colorScale" priority="2">
      <colorScale>
        <cfvo type="formula" val="0"/>
        <cfvo type="max" val="0"/>
        <color rgb="FFF3F3F3"/>
        <color rgb="FF1E7B45"/>
      </colorScale>
    </cfRule>
  </conditionalFormatting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P1" location="'Simulateur Objectifs'!A1" display="OBJECTIFS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B1:AC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14.43359375" defaultRowHeight="15" zeroHeight="0" outlineLevelRow="0"/>
  <cols>
    <col width="8.710000000000001" customWidth="1" style="163" min="1" max="1"/>
    <col width="46" customWidth="1" style="163" min="2" max="2"/>
    <col width="3" customWidth="1" style="163" min="3" max="3"/>
    <col width="22" customWidth="1" style="163" min="4" max="4"/>
    <col width="26" customWidth="1" style="163" min="5" max="5"/>
    <col width="8.710000000000001" customWidth="1" style="163" min="6" max="29"/>
  </cols>
  <sheetData>
    <row r="1" ht="19.5" customHeight="1" s="164">
      <c r="B1" s="166" t="inlineStr">
        <is>
          <t>DASHBOARD</t>
        </is>
      </c>
      <c r="D1" s="166" t="inlineStr">
        <is>
          <t>AUJOURD'HUI</t>
        </is>
      </c>
      <c r="F1" s="166" t="inlineStr">
        <is>
          <t>CANDIDATURES</t>
        </is>
      </c>
      <c r="H1" s="166" t="inlineStr">
        <is>
          <t>SUIVI HEBDO</t>
        </is>
      </c>
      <c r="J1" s="166" t="inlineStr">
        <is>
          <t>ANALYSE</t>
        </is>
      </c>
      <c r="L1" s="166" t="inlineStr">
        <is>
          <t>CONTACTS</t>
        </is>
      </c>
      <c r="N1" s="166" t="inlineStr">
        <is>
          <t>CALENDRIER</t>
        </is>
      </c>
      <c r="P1" s="165" t="inlineStr">
        <is>
          <t>OBJECTIFS</t>
        </is>
      </c>
      <c r="R1" s="166" t="inlineStr">
        <is>
          <t>COMPARATEUR</t>
        </is>
      </c>
      <c r="T1" s="166" t="inlineStr">
        <is>
          <t>ENTRETIEN</t>
        </is>
      </c>
      <c r="V1" s="166" t="inlineStr">
        <is>
          <t>LETTRE</t>
        </is>
      </c>
      <c r="X1" s="166" t="inlineStr">
        <is>
          <t>NEGOCIATION</t>
        </is>
      </c>
      <c r="Z1" s="166" t="inlineStr">
        <is>
          <t>REUSSITES</t>
        </is>
      </c>
      <c r="AB1" s="166" t="inlineStr">
        <is>
          <t>RESSOURCES</t>
        </is>
      </c>
    </row>
    <row r="2" ht="15" customHeight="1" s="164">
      <c r="B2" s="235" t="inlineStr">
        <is>
          <t>SIMULATEUR D'OBJECTIFS</t>
        </is>
      </c>
    </row>
    <row r="3" ht="15" customHeight="1" s="164"/>
    <row r="4" ht="15" customHeight="1" s="164">
      <c r="B4" s="258" t="inlineStr">
        <is>
          <t>Basé sur vos taux de conversion réels observés jusqu'à présent.</t>
        </is>
      </c>
    </row>
    <row r="5" ht="15" customHeight="1" s="164"/>
    <row r="6" ht="19.5" customHeight="1" s="164">
      <c r="B6" s="238" t="inlineStr">
        <is>
          <t>Objectif : nombre d'offres souhaitées</t>
        </is>
      </c>
      <c r="D6" s="263" t="n">
        <v>2</v>
      </c>
      <c r="E6" s="264" t="inlineStr">
        <is>
          <t>(modifiable — cellule en jaune)</t>
        </is>
      </c>
    </row>
    <row r="7" ht="19.5" customHeight="1" s="164"/>
    <row r="8" ht="19.5" customHeight="1" s="164">
      <c r="B8" s="195" t="inlineStr">
        <is>
          <t>Taux historique : candidature → entretien</t>
        </is>
      </c>
      <c r="D8" s="265">
        <f>IFERROR(COUNTIF(Applications!G6:G200,"Entretien")/(COUNTIF(Applications!G6:G200,"Candidature envoyée")+COUNTIF(Applications!G6:G200,"Entretien")+COUNTIF(Applications!G6:G200,"Offre")+COUNTIF(Applications!G6:G200,"Refusé")),0)</f>
        <v/>
      </c>
    </row>
    <row r="9" ht="19.5" customHeight="1" s="164">
      <c r="B9" s="195" t="inlineStr">
        <is>
          <t>Taux historique : entretien → offre</t>
        </is>
      </c>
      <c r="D9" s="265">
        <f>IF(COUNTIF(Applications!G6:G200,"Entretien")=0,"",IF(COUNTIF(Applications!G6:G200,"Offre")&gt;0,COUNTIF(Applications!G6:G200,"Offre")/COUNTIF(Applications!G6:G200,"Entretien"),0.25))</f>
        <v/>
      </c>
      <c r="F9" s="264">
        <f>IF(AND(COUNTIF(Applications!G6:G200,"Entretien")&gt;0,COUNTIF(Applications!G6:G200,"Offre")=0),"(estimation par defaut, pas encore d'offre reelle)","")</f>
        <v/>
      </c>
    </row>
    <row r="10" ht="19.5" customHeight="1" s="164"/>
    <row r="11" ht="19.5" customHeight="1" s="164">
      <c r="B11" s="238" t="inlineStr">
        <is>
          <t>Candidatures nécessaires pour 1 offre</t>
        </is>
      </c>
      <c r="D11" s="266">
        <f>IF($D$9="","Pas encore assez de donnees (aucun entretien a ce jour)",IFERROR(1/($D$8*$D$9),"Pas encore assez de donnees"))</f>
        <v/>
      </c>
    </row>
    <row r="12" ht="19.5" customHeight="1" s="164">
      <c r="B12" s="238" t="inlineStr">
        <is>
          <t>Total de candidatures nécessaires pour l'objectif</t>
        </is>
      </c>
      <c r="D12" s="267">
        <f>IFERROR($D$6*$D$11,"—")</f>
        <v/>
      </c>
    </row>
    <row r="13" ht="19.5" customHeight="1" s="164">
      <c r="B13" s="195" t="inlineStr">
        <is>
          <t>Candidatures déjà envoyées</t>
        </is>
      </c>
      <c r="D13" s="268">
        <f>COUNTA(Applications!C6:C200)</f>
        <v/>
      </c>
    </row>
    <row r="14" ht="19.5" customHeight="1" s="164">
      <c r="B14" s="238" t="inlineStr">
        <is>
          <t>Candidatures restantes à envoyer</t>
        </is>
      </c>
      <c r="D14" s="269">
        <f>IFERROR(MAX(0,$D$12-$D$13),"—")</f>
        <v/>
      </c>
    </row>
    <row r="15" ht="19.5" customHeight="1" s="164"/>
    <row r="16" ht="19.5" customHeight="1" s="164">
      <c r="B16" s="195" t="inlineStr">
        <is>
          <t>Rythme hebdomadaire moyen actuel (candidatures/semaine)</t>
        </is>
      </c>
      <c r="D16" s="270">
        <f>IFERROR(COUNTA(Applications!C6:C200)/MAX(1,ROUNDUP((TODAY()-MIN(Applications!F6:F200))/7,0)),0)</f>
        <v/>
      </c>
    </row>
    <row r="17" ht="19.5" customHeight="1" s="164">
      <c r="B17" s="238" t="inlineStr">
        <is>
          <t>Semaines estimées pour atteindre l'objectif au rythme actuel</t>
        </is>
      </c>
      <c r="D17" s="267">
        <f>IFERROR(IF(ISNUMBER($D$14),ROUNDUP($D$14/$D$16,0)&amp;" semaines","—"),"—")</f>
        <v/>
      </c>
    </row>
    <row r="18" ht="19.5" customHeight="1" s="164">
      <c r="B18" s="238" t="inlineStr">
        <is>
          <t>Date estimée d'atteinte de l'objectif</t>
        </is>
      </c>
      <c r="D18" s="271">
        <f>IFERROR(IF(ISNUMBER($D$14),TODAY()+ROUNDUP($D$14/$D$16,0)*7,"—"),"—")</f>
        <v/>
      </c>
    </row>
    <row r="19" ht="15" customHeight="1" s="164"/>
    <row r="20" ht="25.5" customHeight="1" s="164">
      <c r="B20" s="214" t="inlineStr">
        <is>
          <t>Ce simulateur est déjà 100% interactif : changez juste le nombre en jaune ci-dessus (D6).</t>
        </is>
      </c>
    </row>
    <row r="21" ht="15.75" customHeight="1" s="164"/>
    <row r="22" ht="15" customHeight="1" s="164">
      <c r="B22" s="198" t="inlineStr">
        <is>
          <t>Progression vers objectif</t>
        </is>
      </c>
      <c r="D22" s="212">
        <f>IFERROR(MIN(1,$D$13/$D$12),0)</f>
        <v/>
      </c>
    </row>
    <row r="23" ht="15" customHeight="1" s="164">
      <c r="D23" s="170">
        <f>1-$D$22</f>
        <v/>
      </c>
    </row>
    <row r="24" ht="15" customHeight="1" s="164">
      <c r="C24" s="169" t="inlineStr">
        <is>
          <t>Complété</t>
        </is>
      </c>
      <c r="D24" s="169">
        <f>MIN($D$13,$D$12)</f>
        <v/>
      </c>
    </row>
    <row r="25" ht="15" customHeight="1" s="164">
      <c r="C25" s="169" t="inlineStr">
        <is>
          <t>Restant</t>
        </is>
      </c>
      <c r="D25" s="169">
        <f>$D$14</f>
        <v/>
      </c>
    </row>
    <row r="26" ht="15.75" customHeight="1" s="164"/>
    <row r="27" ht="15" customHeight="1" s="164">
      <c r="B27" s="198" t="n"/>
    </row>
    <row r="28" ht="15" customHeight="1" s="164">
      <c r="B28" s="238" t="n"/>
      <c r="D28" s="272" t="n"/>
      <c r="E28" s="264" t="n"/>
    </row>
    <row r="29" ht="15" customHeight="1" s="164">
      <c r="B29" s="273" t="n"/>
      <c r="D29" s="274" t="n"/>
    </row>
    <row r="30" ht="15.75" customHeight="1" s="164"/>
    <row r="31" ht="15.75" customHeight="1" s="164"/>
    <row r="32" ht="15.75" customHeight="1" s="164"/>
    <row r="33" ht="15.75" customHeight="1" s="164"/>
    <row r="34" ht="15.75" customHeight="1" s="164"/>
    <row r="35" ht="15.75" customHeight="1" s="164"/>
    <row r="36" ht="15.75" customHeight="1" s="164"/>
    <row r="37" ht="15.75" customHeight="1" s="164"/>
    <row r="38" ht="15" customHeight="1" s="164">
      <c r="B38" s="198" t="inlineStr">
        <is>
          <t>OBJECTIF HEBDOMADAIRE (SMART)</t>
        </is>
      </c>
    </row>
    <row r="39" ht="15" customHeight="1" s="164">
      <c r="B39" s="238" t="inlineStr">
        <is>
          <t>Candidatures à envoyer par semaine (modifiable) :</t>
        </is>
      </c>
      <c r="D39" s="272" t="n">
        <v>10</v>
      </c>
      <c r="E39" s="264" t="inlineStr">
        <is>
          <t>(Specific, Measurable, Achievable, Relevant, Time-bound — ajustez selon votre rythme réel)</t>
        </is>
      </c>
    </row>
    <row r="40" ht="15" customHeight="1" s="164">
      <c r="B40" s="273" t="inlineStr">
        <is>
          <t>Suggestion basée sur votre rythme réel des 2 dernières semaines :</t>
        </is>
      </c>
      <c r="D40" s="274">
        <f>IFERROR(ROUND(AVERAGE('Suivi Hebdo'!D6:D7),0),"—")</f>
        <v/>
      </c>
    </row>
    <row r="41" ht="15.75" customHeight="1" s="164"/>
    <row r="42" ht="15.75" customHeight="1" s="164"/>
    <row r="43" ht="15.75" customHeight="1" s="164"/>
    <row r="44" ht="15.75" customHeight="1" s="164"/>
    <row r="45" ht="15.75" customHeight="1" s="164"/>
    <row r="46" ht="15.75" customHeight="1" s="164"/>
    <row r="47" ht="15.75" customHeight="1" s="164"/>
    <row r="48" ht="15.75" customHeight="1" s="164"/>
    <row r="49" ht="15.75" customHeight="1" s="164"/>
    <row r="50" ht="15.75" customHeight="1" s="164"/>
    <row r="51" ht="15.75" customHeight="1" s="164"/>
    <row r="52" ht="15.75" customHeight="1" s="164"/>
    <row r="53" ht="15.75" customHeight="1" s="164"/>
    <row r="54" ht="15.75" customHeight="1" s="164"/>
    <row r="55" ht="15.75" customHeight="1" s="164"/>
    <row r="56" ht="15.75" customHeight="1" s="164"/>
    <row r="57" ht="15.75" customHeight="1" s="164"/>
    <row r="58" ht="15.75" customHeight="1" s="164"/>
    <row r="59" ht="15.75" customHeight="1" s="164"/>
    <row r="60" ht="15.75" customHeight="1" s="164"/>
    <row r="61" ht="15.75" customHeight="1" s="164"/>
    <row r="62" ht="15.75" customHeight="1" s="164"/>
    <row r="63" ht="15.75" customHeight="1" s="164"/>
    <row r="64" ht="15.75" customHeight="1" s="164"/>
    <row r="65" ht="15.75" customHeight="1" s="164"/>
    <row r="66" ht="15.75" customHeight="1" s="164"/>
    <row r="67" ht="15.75" customHeight="1" s="164"/>
    <row r="68" ht="15.75" customHeight="1" s="164"/>
    <row r="69" ht="15.75" customHeight="1" s="164"/>
    <row r="70" ht="15.75" customHeight="1" s="164"/>
    <row r="71" ht="15.75" customHeight="1" s="164"/>
    <row r="72" ht="15.75" customHeight="1" s="164"/>
    <row r="73" ht="15.75" customHeight="1" s="164"/>
    <row r="74" ht="15.75" customHeight="1" s="164"/>
    <row r="75" ht="15.75" customHeight="1" s="164"/>
    <row r="76" ht="15.75" customHeight="1" s="164"/>
    <row r="77" ht="15.75" customHeight="1" s="164"/>
    <row r="78" ht="15.75" customHeight="1" s="164"/>
    <row r="79" ht="15.75" customHeight="1" s="164"/>
    <row r="80" ht="15.75" customHeight="1" s="164"/>
    <row r="81" ht="15.75" customHeight="1" s="164"/>
    <row r="82" ht="15.75" customHeight="1" s="164"/>
    <row r="83" ht="15.75" customHeight="1" s="164"/>
    <row r="84" ht="15.75" customHeight="1" s="164"/>
    <row r="85" ht="15.75" customHeight="1" s="164"/>
    <row r="86" ht="15.75" customHeight="1" s="164"/>
    <row r="87" ht="15.75" customHeight="1" s="164"/>
    <row r="88" ht="15.75" customHeight="1" s="164"/>
    <row r="89" ht="15.75" customHeight="1" s="164"/>
    <row r="90" ht="15.75" customHeight="1" s="164"/>
    <row r="91" ht="15.75" customHeight="1" s="164"/>
    <row r="92" ht="15.75" customHeight="1" s="164"/>
    <row r="93" ht="15.75" customHeight="1" s="164"/>
    <row r="94" ht="15.75" customHeight="1" s="164"/>
    <row r="95" ht="15.75" customHeight="1" s="164"/>
    <row r="96" ht="15.75" customHeight="1" s="164"/>
    <row r="97" ht="15.75" customHeight="1" s="164"/>
    <row r="98" ht="15.75" customHeight="1" s="164"/>
    <row r="99" ht="15.75" customHeight="1" s="164"/>
    <row r="100" ht="15.75" customHeight="1" s="164"/>
    <row r="101" ht="15.75" customHeight="1" s="164"/>
    <row r="102" ht="15.75" customHeight="1" s="164"/>
    <row r="103" ht="15.75" customHeight="1" s="164"/>
    <row r="104" ht="15.75" customHeight="1" s="164"/>
    <row r="105" ht="15.75" customHeight="1" s="164"/>
    <row r="106" ht="15.75" customHeight="1" s="164"/>
    <row r="107" ht="15.75" customHeight="1" s="164"/>
    <row r="108" ht="15.75" customHeight="1" s="164"/>
    <row r="109" ht="15.75" customHeight="1" s="164"/>
    <row r="110" ht="15.75" customHeight="1" s="164"/>
    <row r="111" ht="15.75" customHeight="1" s="164"/>
    <row r="112" ht="15.75" customHeight="1" s="164"/>
    <row r="113" ht="15.75" customHeight="1" s="164"/>
    <row r="114" ht="15.75" customHeight="1" s="164"/>
    <row r="115" ht="15.75" customHeight="1" s="164"/>
    <row r="116" ht="15.75" customHeight="1" s="164"/>
    <row r="117" ht="15.75" customHeight="1" s="164"/>
    <row r="118" ht="15.75" customHeight="1" s="164"/>
    <row r="119" ht="15.75" customHeight="1" s="164"/>
    <row r="120" ht="15.75" customHeight="1" s="164"/>
    <row r="121" ht="15.75" customHeight="1" s="164"/>
    <row r="122" ht="15.75" customHeight="1" s="164"/>
    <row r="123" ht="15.75" customHeight="1" s="164"/>
    <row r="124" ht="15.75" customHeight="1" s="164"/>
    <row r="125" ht="15.75" customHeight="1" s="164"/>
    <row r="126" ht="15.75" customHeight="1" s="164"/>
    <row r="127" ht="15.75" customHeight="1" s="164"/>
    <row r="128" ht="15.75" customHeight="1" s="164"/>
    <row r="129" ht="15.75" customHeight="1" s="164"/>
    <row r="130" ht="15.75" customHeight="1" s="164"/>
    <row r="131" ht="15.75" customHeight="1" s="164"/>
    <row r="132" ht="15.75" customHeight="1" s="164"/>
    <row r="133" ht="15.75" customHeight="1" s="164"/>
    <row r="134" ht="15.75" customHeight="1" s="164"/>
    <row r="135" ht="15.75" customHeight="1" s="164"/>
    <row r="136" ht="15.75" customHeight="1" s="164"/>
    <row r="137" ht="15.75" customHeight="1" s="164"/>
    <row r="138" ht="15.75" customHeight="1" s="164"/>
    <row r="139" ht="15.75" customHeight="1" s="164"/>
    <row r="140" ht="15.75" customHeight="1" s="164"/>
    <row r="141" ht="15.75" customHeight="1" s="164"/>
    <row r="142" ht="15.75" customHeight="1" s="164"/>
    <row r="143" ht="15.75" customHeight="1" s="164"/>
    <row r="144" ht="15.75" customHeight="1" s="164"/>
    <row r="145" ht="15.75" customHeight="1" s="164"/>
    <row r="146" ht="15.75" customHeight="1" s="164"/>
    <row r="147" ht="15.75" customHeight="1" s="164"/>
    <row r="148" ht="15.75" customHeight="1" s="164"/>
    <row r="149" ht="15.75" customHeight="1" s="164"/>
    <row r="150" ht="15.75" customHeight="1" s="164"/>
    <row r="151" ht="15.75" customHeight="1" s="164"/>
    <row r="152" ht="15.75" customHeight="1" s="164"/>
    <row r="153" ht="15.75" customHeight="1" s="164"/>
    <row r="154" ht="15.75" customHeight="1" s="164"/>
    <row r="155" ht="15.75" customHeight="1" s="164"/>
    <row r="156" ht="15.75" customHeight="1" s="164"/>
    <row r="157" ht="15.75" customHeight="1" s="164"/>
    <row r="158" ht="15.75" customHeight="1" s="164"/>
    <row r="159" ht="15.75" customHeight="1" s="164"/>
    <row r="160" ht="15.75" customHeight="1" s="164"/>
    <row r="161" ht="15.75" customHeight="1" s="164"/>
    <row r="162" ht="15.75" customHeight="1" s="164"/>
    <row r="163" ht="15.75" customHeight="1" s="164"/>
    <row r="164" ht="15.75" customHeight="1" s="164"/>
    <row r="165" ht="15.75" customHeight="1" s="164"/>
    <row r="166" ht="15.75" customHeight="1" s="164"/>
    <row r="167" ht="15.75" customHeight="1" s="164"/>
    <row r="168" ht="15.75" customHeight="1" s="164"/>
    <row r="169" ht="15.75" customHeight="1" s="164"/>
    <row r="170" ht="15.75" customHeight="1" s="164"/>
    <row r="171" ht="15.75" customHeight="1" s="164"/>
    <row r="172" ht="15.75" customHeight="1" s="164"/>
    <row r="173" ht="15.75" customHeight="1" s="164"/>
    <row r="174" ht="15.75" customHeight="1" s="164"/>
    <row r="175" ht="15.75" customHeight="1" s="164"/>
    <row r="176" ht="15.75" customHeight="1" s="164"/>
    <row r="177" ht="15.75" customHeight="1" s="164"/>
    <row r="178" ht="15.75" customHeight="1" s="164"/>
    <row r="179" ht="15.75" customHeight="1" s="164"/>
    <row r="180" ht="15.75" customHeight="1" s="164"/>
    <row r="181" ht="15.75" customHeight="1" s="164"/>
    <row r="182" ht="15.75" customHeight="1" s="164"/>
    <row r="183" ht="15.75" customHeight="1" s="164"/>
    <row r="184" ht="15.75" customHeight="1" s="164"/>
    <row r="185" ht="15.75" customHeight="1" s="164"/>
    <row r="186" ht="15.75" customHeight="1" s="164"/>
    <row r="187" ht="15.75" customHeight="1" s="164"/>
    <row r="188" ht="15.75" customHeight="1" s="164"/>
    <row r="189" ht="15.75" customHeight="1" s="164"/>
    <row r="190" ht="15.75" customHeight="1" s="164"/>
    <row r="191" ht="15.75" customHeight="1" s="164"/>
    <row r="192" ht="15.75" customHeight="1" s="164"/>
    <row r="193" ht="15.75" customHeight="1" s="164"/>
    <row r="194" ht="15.75" customHeight="1" s="164"/>
    <row r="195" ht="15.75" customHeight="1" s="164"/>
    <row r="196" ht="15.75" customHeight="1" s="164"/>
    <row r="197" ht="15.75" customHeight="1" s="164"/>
    <row r="198" ht="15.75" customHeight="1" s="164"/>
    <row r="199" ht="15.75" customHeight="1" s="164"/>
    <row r="200" ht="15.75" customHeight="1" s="164"/>
    <row r="201" ht="15.75" customHeight="1" s="164"/>
    <row r="202" ht="15.75" customHeight="1" s="164"/>
    <row r="203" ht="15.75" customHeight="1" s="164"/>
    <row r="204" ht="15.75" customHeight="1" s="164"/>
    <row r="205" ht="15.75" customHeight="1" s="164"/>
    <row r="206" ht="15.75" customHeight="1" s="164"/>
    <row r="207" ht="15.75" customHeight="1" s="164"/>
    <row r="208" ht="15.75" customHeight="1" s="164"/>
    <row r="209" ht="15.75" customHeight="1" s="164"/>
    <row r="210" ht="15.75" customHeight="1" s="164"/>
    <row r="211" ht="15.75" customHeight="1" s="164"/>
    <row r="212" ht="15.75" customHeight="1" s="164"/>
    <row r="213" ht="15.75" customHeight="1" s="164"/>
    <row r="214" ht="15.75" customHeight="1" s="164"/>
    <row r="215" ht="15.75" customHeight="1" s="164"/>
    <row r="216" ht="15.75" customHeight="1" s="164"/>
    <row r="217" ht="15.75" customHeight="1" s="164"/>
    <row r="218" ht="15.75" customHeight="1" s="164"/>
    <row r="219" ht="15.75" customHeight="1" s="164"/>
    <row r="220" ht="15.75" customHeight="1" s="164"/>
    <row r="221" ht="15.75" customHeight="1" s="164"/>
    <row r="222" ht="15.75" customHeight="1" s="164"/>
    <row r="223" ht="15.75" customHeight="1" s="164"/>
    <row r="224" ht="15.75" customHeight="1" s="164"/>
    <row r="225" ht="15.75" customHeight="1" s="164"/>
    <row r="226" ht="15.75" customHeight="1" s="164"/>
    <row r="227" ht="15.75" customHeight="1" s="164"/>
    <row r="228" ht="15.75" customHeight="1" s="164"/>
    <row r="229" ht="15.75" customHeight="1" s="164"/>
    <row r="230" ht="15.75" customHeight="1" s="164"/>
    <row r="231" ht="15.75" customHeight="1" s="164"/>
    <row r="232" ht="15.75" customHeight="1" s="164"/>
    <row r="233" ht="15.75" customHeight="1" s="164"/>
    <row r="234" ht="15.75" customHeight="1" s="164"/>
    <row r="235" ht="15.75" customHeight="1" s="164"/>
    <row r="236" ht="15.75" customHeight="1" s="164"/>
    <row r="237" ht="15.75" customHeight="1" s="164"/>
    <row r="238" ht="15.75" customHeight="1" s="164"/>
    <row r="239" ht="15.75" customHeight="1" s="164"/>
    <row r="240" ht="15.75" customHeight="1" s="164"/>
    <row r="241" ht="15.75" customHeight="1" s="164"/>
    <row r="242" ht="15.75" customHeight="1" s="164"/>
    <row r="243" ht="15.75" customHeight="1" s="164"/>
    <row r="244" ht="15.75" customHeight="1" s="164"/>
    <row r="245" ht="15.75" customHeight="1" s="164"/>
    <row r="246" ht="15.75" customHeight="1" s="164"/>
    <row r="247" ht="15.75" customHeight="1" s="164"/>
    <row r="248" ht="15.75" customHeight="1" s="164"/>
    <row r="249" ht="15.75" customHeight="1" s="164"/>
    <row r="250" ht="15.75" customHeight="1" s="164"/>
    <row r="251" ht="15.75" customHeight="1" s="164"/>
    <row r="252" ht="15.75" customHeight="1" s="164"/>
    <row r="253" ht="15.75" customHeight="1" s="164"/>
    <row r="254" ht="15.75" customHeight="1" s="164"/>
    <row r="255" ht="15.75" customHeight="1" s="164"/>
    <row r="256" ht="15.75" customHeight="1" s="164"/>
    <row r="257" ht="15.75" customHeight="1" s="164"/>
    <row r="258" ht="15.75" customHeight="1" s="164"/>
    <row r="259" ht="15.75" customHeight="1" s="164"/>
    <row r="260" ht="15.75" customHeight="1" s="164"/>
    <row r="261" ht="15.75" customHeight="1" s="164"/>
    <row r="262" ht="15.75" customHeight="1" s="164"/>
    <row r="263" ht="15.75" customHeight="1" s="164"/>
    <row r="264" ht="15.75" customHeight="1" s="164"/>
    <row r="265" ht="15.75" customHeight="1" s="164"/>
    <row r="266" ht="15.75" customHeight="1" s="164"/>
    <row r="267" ht="15.75" customHeight="1" s="164"/>
    <row r="268" ht="15.75" customHeight="1" s="164"/>
    <row r="269" ht="15.75" customHeight="1" s="164"/>
    <row r="270" ht="15.75" customHeight="1" s="164"/>
    <row r="271" ht="15.75" customHeight="1" s="164"/>
    <row r="272" ht="15.75" customHeight="1" s="164"/>
    <row r="273" ht="15.75" customHeight="1" s="164"/>
    <row r="274" ht="15.75" customHeight="1" s="164"/>
    <row r="275" ht="15.75" customHeight="1" s="164"/>
    <row r="276" ht="15.75" customHeight="1" s="164"/>
    <row r="277" ht="15.75" customHeight="1" s="164"/>
    <row r="278" ht="15.75" customHeight="1" s="164"/>
    <row r="279" ht="15.75" customHeight="1" s="164"/>
    <row r="280" ht="15.75" customHeight="1" s="164"/>
    <row r="281" ht="15.75" customHeight="1" s="164"/>
    <row r="282" ht="15.75" customHeight="1" s="164"/>
    <row r="283" ht="15.75" customHeight="1" s="164"/>
    <row r="284" ht="15.75" customHeight="1" s="164"/>
    <row r="285" ht="15.75" customHeight="1" s="164"/>
    <row r="286" ht="15.75" customHeight="1" s="164"/>
    <row r="287" ht="15.75" customHeight="1" s="164"/>
    <row r="288" ht="15.75" customHeight="1" s="164"/>
    <row r="289" ht="15.75" customHeight="1" s="164"/>
    <row r="290" ht="15.75" customHeight="1" s="164"/>
    <row r="291" ht="15.75" customHeight="1" s="164"/>
    <row r="292" ht="15.75" customHeight="1" s="164"/>
    <row r="293" ht="15.75" customHeight="1" s="164"/>
    <row r="294" ht="15.75" customHeight="1" s="164"/>
    <row r="295" ht="15.75" customHeight="1" s="164"/>
    <row r="296" ht="15.75" customHeight="1" s="164"/>
    <row r="297" ht="15.75" customHeight="1" s="164"/>
    <row r="298" ht="15.75" customHeight="1" s="164"/>
    <row r="299" ht="15.75" customHeight="1" s="164"/>
    <row r="300" ht="15.75" customHeight="1" s="164"/>
    <row r="301" ht="15.75" customHeight="1" s="164"/>
    <row r="302" ht="15.75" customHeight="1" s="164"/>
    <row r="303" ht="15.75" customHeight="1" s="164"/>
    <row r="304" ht="15.75" customHeight="1" s="164"/>
    <row r="305" ht="15.75" customHeight="1" s="164"/>
    <row r="306" ht="15.75" customHeight="1" s="164"/>
    <row r="307" ht="15.75" customHeight="1" s="164"/>
    <row r="308" ht="15.75" customHeight="1" s="164"/>
    <row r="309" ht="15.75" customHeight="1" s="164"/>
    <row r="310" ht="15.75" customHeight="1" s="164"/>
    <row r="311" ht="15.75" customHeight="1" s="164"/>
    <row r="312" ht="15.75" customHeight="1" s="164"/>
    <row r="313" ht="15.75" customHeight="1" s="164"/>
    <row r="314" ht="15.75" customHeight="1" s="164"/>
    <row r="315" ht="15.75" customHeight="1" s="164"/>
    <row r="316" ht="15.75" customHeight="1" s="164"/>
    <row r="317" ht="15.75" customHeight="1" s="164"/>
    <row r="318" ht="15.75" customHeight="1" s="164"/>
    <row r="319" ht="15.75" customHeight="1" s="164"/>
    <row r="320" ht="15.75" customHeight="1" s="164"/>
    <row r="321" ht="15.75" customHeight="1" s="164"/>
    <row r="322" ht="15.75" customHeight="1" s="164"/>
    <row r="323" ht="15.75" customHeight="1" s="164"/>
    <row r="324" ht="15.75" customHeight="1" s="164"/>
    <row r="325" ht="15.75" customHeight="1" s="164"/>
    <row r="326" ht="15.75" customHeight="1" s="164"/>
    <row r="327" ht="15.75" customHeight="1" s="164"/>
    <row r="328" ht="15.75" customHeight="1" s="164"/>
    <row r="329" ht="15.75" customHeight="1" s="164"/>
    <row r="330" ht="15.75" customHeight="1" s="164"/>
    <row r="331" ht="15.75" customHeight="1" s="164"/>
    <row r="332" ht="15.75" customHeight="1" s="164"/>
    <row r="333" ht="15.75" customHeight="1" s="164"/>
    <row r="334" ht="15.75" customHeight="1" s="164"/>
    <row r="335" ht="15.75" customHeight="1" s="164"/>
    <row r="336" ht="15.75" customHeight="1" s="164"/>
    <row r="337" ht="15.75" customHeight="1" s="164"/>
    <row r="338" ht="15.75" customHeight="1" s="164"/>
    <row r="339" ht="15.75" customHeight="1" s="164"/>
    <row r="340" ht="15.75" customHeight="1" s="164"/>
    <row r="341" ht="15.75" customHeight="1" s="164"/>
    <row r="342" ht="15.75" customHeight="1" s="164"/>
    <row r="343" ht="15.75" customHeight="1" s="164"/>
    <row r="344" ht="15.75" customHeight="1" s="164"/>
    <row r="345" ht="15.75" customHeight="1" s="164"/>
    <row r="346" ht="15.75" customHeight="1" s="164"/>
    <row r="347" ht="15.75" customHeight="1" s="164"/>
    <row r="348" ht="15.75" customHeight="1" s="164"/>
    <row r="349" ht="15.75" customHeight="1" s="164"/>
    <row r="350" ht="15.75" customHeight="1" s="164"/>
    <row r="351" ht="15.75" customHeight="1" s="164"/>
    <row r="352" ht="15.75" customHeight="1" s="164"/>
    <row r="353" ht="15.75" customHeight="1" s="164"/>
    <row r="354" ht="15.75" customHeight="1" s="164"/>
    <row r="355" ht="15.75" customHeight="1" s="164"/>
    <row r="356" ht="15.75" customHeight="1" s="164"/>
    <row r="357" ht="15.75" customHeight="1" s="164"/>
    <row r="358" ht="15.75" customHeight="1" s="164"/>
    <row r="359" ht="15.75" customHeight="1" s="164"/>
    <row r="360" ht="15.75" customHeight="1" s="164"/>
    <row r="361" ht="15.75" customHeight="1" s="164"/>
    <row r="362" ht="15.75" customHeight="1" s="164"/>
    <row r="363" ht="15.75" customHeight="1" s="164"/>
    <row r="364" ht="15.75" customHeight="1" s="164"/>
    <row r="365" ht="15.75" customHeight="1" s="164"/>
    <row r="366" ht="15.75" customHeight="1" s="164"/>
    <row r="367" ht="15.75" customHeight="1" s="164"/>
    <row r="368" ht="15.75" customHeight="1" s="164"/>
    <row r="369" ht="15.75" customHeight="1" s="164"/>
    <row r="370" ht="15.75" customHeight="1" s="164"/>
    <row r="371" ht="15.75" customHeight="1" s="164"/>
    <row r="372" ht="15.75" customHeight="1" s="164"/>
    <row r="373" ht="15.75" customHeight="1" s="164"/>
    <row r="374" ht="15.75" customHeight="1" s="164"/>
    <row r="375" ht="15.75" customHeight="1" s="164"/>
    <row r="376" ht="15.75" customHeight="1" s="164"/>
    <row r="377" ht="15.75" customHeight="1" s="164"/>
    <row r="378" ht="15.75" customHeight="1" s="164"/>
    <row r="379" ht="15.75" customHeight="1" s="164"/>
    <row r="380" ht="15.75" customHeight="1" s="164"/>
    <row r="381" ht="15.75" customHeight="1" s="164"/>
    <row r="382" ht="15.75" customHeight="1" s="164"/>
    <row r="383" ht="15.75" customHeight="1" s="164"/>
    <row r="384" ht="15.75" customHeight="1" s="164"/>
    <row r="385" ht="15.75" customHeight="1" s="164"/>
    <row r="386" ht="15.75" customHeight="1" s="164"/>
    <row r="387" ht="15.75" customHeight="1" s="164"/>
    <row r="388" ht="15.75" customHeight="1" s="164"/>
    <row r="389" ht="15.75" customHeight="1" s="164"/>
    <row r="390" ht="15.75" customHeight="1" s="164"/>
    <row r="391" ht="15.75" customHeight="1" s="164"/>
    <row r="392" ht="15.75" customHeight="1" s="164"/>
    <row r="393" ht="15.75" customHeight="1" s="164"/>
    <row r="394" ht="15.75" customHeight="1" s="164"/>
    <row r="395" ht="15.75" customHeight="1" s="164"/>
    <row r="396" ht="15.75" customHeight="1" s="164"/>
    <row r="397" ht="15.75" customHeight="1" s="164"/>
    <row r="398" ht="15.75" customHeight="1" s="164"/>
    <row r="399" ht="15.75" customHeight="1" s="164"/>
    <row r="400" ht="15.75" customHeight="1" s="164"/>
    <row r="401" ht="15.75" customHeight="1" s="164"/>
    <row r="402" ht="15.75" customHeight="1" s="164"/>
    <row r="403" ht="15.75" customHeight="1" s="164"/>
    <row r="404" ht="15.75" customHeight="1" s="164"/>
    <row r="405" ht="15.75" customHeight="1" s="164"/>
    <row r="406" ht="15.75" customHeight="1" s="164"/>
    <row r="407" ht="15.75" customHeight="1" s="164"/>
    <row r="408" ht="15.75" customHeight="1" s="164"/>
    <row r="409" ht="15.75" customHeight="1" s="164"/>
    <row r="410" ht="15.75" customHeight="1" s="164"/>
    <row r="411" ht="15.75" customHeight="1" s="164"/>
    <row r="412" ht="15.75" customHeight="1" s="164"/>
    <row r="413" ht="15.75" customHeight="1" s="164"/>
    <row r="414" ht="15.75" customHeight="1" s="164"/>
    <row r="415" ht="15.75" customHeight="1" s="164"/>
    <row r="416" ht="15.75" customHeight="1" s="164"/>
    <row r="417" ht="15.75" customHeight="1" s="164"/>
    <row r="418" ht="15.75" customHeight="1" s="164"/>
    <row r="419" ht="15.75" customHeight="1" s="164"/>
    <row r="420" ht="15.75" customHeight="1" s="164"/>
    <row r="421" ht="15.75" customHeight="1" s="164"/>
    <row r="422" ht="15.75" customHeight="1" s="164"/>
    <row r="423" ht="15.75" customHeight="1" s="164"/>
    <row r="424" ht="15.75" customHeight="1" s="164"/>
    <row r="425" ht="15.75" customHeight="1" s="164"/>
    <row r="426" ht="15.75" customHeight="1" s="164"/>
    <row r="427" ht="15.75" customHeight="1" s="164"/>
    <row r="428" ht="15.75" customHeight="1" s="164"/>
    <row r="429" ht="15.75" customHeight="1" s="164"/>
    <row r="430" ht="15.75" customHeight="1" s="164"/>
    <row r="431" ht="15.75" customHeight="1" s="164"/>
    <row r="432" ht="15.75" customHeight="1" s="164"/>
    <row r="433" ht="15.75" customHeight="1" s="164"/>
    <row r="434" ht="15.75" customHeight="1" s="164"/>
    <row r="435" ht="15.75" customHeight="1" s="164"/>
    <row r="436" ht="15.75" customHeight="1" s="164"/>
    <row r="437" ht="15.75" customHeight="1" s="164"/>
    <row r="438" ht="15.75" customHeight="1" s="164"/>
    <row r="439" ht="15.75" customHeight="1" s="164"/>
    <row r="440" ht="15.75" customHeight="1" s="164"/>
    <row r="441" ht="15.75" customHeight="1" s="164"/>
    <row r="442" ht="15.75" customHeight="1" s="164"/>
    <row r="443" ht="15.75" customHeight="1" s="164"/>
    <row r="444" ht="15.75" customHeight="1" s="164"/>
    <row r="445" ht="15.75" customHeight="1" s="164"/>
    <row r="446" ht="15.75" customHeight="1" s="164"/>
    <row r="447" ht="15.75" customHeight="1" s="164"/>
    <row r="448" ht="15.75" customHeight="1" s="164"/>
    <row r="449" ht="15.75" customHeight="1" s="164"/>
    <row r="450" ht="15.75" customHeight="1" s="164"/>
    <row r="451" ht="15.75" customHeight="1" s="164"/>
    <row r="452" ht="15.75" customHeight="1" s="164"/>
    <row r="453" ht="15.75" customHeight="1" s="164"/>
    <row r="454" ht="15.75" customHeight="1" s="164"/>
    <row r="455" ht="15.75" customHeight="1" s="164"/>
    <row r="456" ht="15.75" customHeight="1" s="164"/>
    <row r="457" ht="15.75" customHeight="1" s="164"/>
    <row r="458" ht="15.75" customHeight="1" s="164"/>
    <row r="459" ht="15.75" customHeight="1" s="164"/>
    <row r="460" ht="15.75" customHeight="1" s="164"/>
    <row r="461" ht="15.75" customHeight="1" s="164"/>
    <row r="462" ht="15.75" customHeight="1" s="164"/>
    <row r="463" ht="15.75" customHeight="1" s="164"/>
    <row r="464" ht="15.75" customHeight="1" s="164"/>
    <row r="465" ht="15.75" customHeight="1" s="164"/>
    <row r="466" ht="15.75" customHeight="1" s="164"/>
    <row r="467" ht="15.75" customHeight="1" s="164"/>
    <row r="468" ht="15.75" customHeight="1" s="164"/>
    <row r="469" ht="15.75" customHeight="1" s="164"/>
    <row r="470" ht="15.75" customHeight="1" s="164"/>
    <row r="471" ht="15.75" customHeight="1" s="164"/>
    <row r="472" ht="15.75" customHeight="1" s="164"/>
    <row r="473" ht="15.75" customHeight="1" s="164"/>
    <row r="474" ht="15.75" customHeight="1" s="164"/>
    <row r="475" ht="15.75" customHeight="1" s="164"/>
    <row r="476" ht="15.75" customHeight="1" s="164"/>
    <row r="477" ht="15.75" customHeight="1" s="164"/>
    <row r="478" ht="15.75" customHeight="1" s="164"/>
    <row r="479" ht="15.75" customHeight="1" s="164"/>
    <row r="480" ht="15.75" customHeight="1" s="164"/>
    <row r="481" ht="15.75" customHeight="1" s="164"/>
    <row r="482" ht="15.75" customHeight="1" s="164"/>
    <row r="483" ht="15.75" customHeight="1" s="164"/>
    <row r="484" ht="15.75" customHeight="1" s="164"/>
    <row r="485" ht="15.75" customHeight="1" s="164"/>
    <row r="486" ht="15.75" customHeight="1" s="164"/>
    <row r="487" ht="15.75" customHeight="1" s="164"/>
    <row r="488" ht="15.75" customHeight="1" s="164"/>
    <row r="489" ht="15.75" customHeight="1" s="164"/>
    <row r="490" ht="15.75" customHeight="1" s="164"/>
    <row r="491" ht="15.75" customHeight="1" s="164"/>
    <row r="492" ht="15.75" customHeight="1" s="164"/>
    <row r="493" ht="15.75" customHeight="1" s="164"/>
    <row r="494" ht="15.75" customHeight="1" s="164"/>
    <row r="495" ht="15.75" customHeight="1" s="164"/>
    <row r="496" ht="15.75" customHeight="1" s="164"/>
    <row r="497" ht="15.75" customHeight="1" s="164"/>
    <row r="498" ht="15.75" customHeight="1" s="164"/>
    <row r="499" ht="15.75" customHeight="1" s="164"/>
    <row r="500" ht="15.75" customHeight="1" s="164"/>
    <row r="501" ht="15.75" customHeight="1" s="164"/>
    <row r="502" ht="15.75" customHeight="1" s="164"/>
    <row r="503" ht="15.75" customHeight="1" s="164"/>
    <row r="504" ht="15.75" customHeight="1" s="164"/>
    <row r="505" ht="15.75" customHeight="1" s="164"/>
    <row r="506" ht="15.75" customHeight="1" s="164"/>
    <row r="507" ht="15.75" customHeight="1" s="164"/>
    <row r="508" ht="15.75" customHeight="1" s="164"/>
    <row r="509" ht="15.75" customHeight="1" s="164"/>
    <row r="510" ht="15.75" customHeight="1" s="164"/>
    <row r="511" ht="15.75" customHeight="1" s="164"/>
    <row r="512" ht="15.75" customHeight="1" s="164"/>
    <row r="513" ht="15.75" customHeight="1" s="164"/>
    <row r="514" ht="15.75" customHeight="1" s="164"/>
    <row r="515" ht="15.75" customHeight="1" s="164"/>
    <row r="516" ht="15.75" customHeight="1" s="164"/>
    <row r="517" ht="15.75" customHeight="1" s="164"/>
    <row r="518" ht="15.75" customHeight="1" s="164"/>
    <row r="519" ht="15.75" customHeight="1" s="164"/>
    <row r="520" ht="15.75" customHeight="1" s="164"/>
    <row r="521" ht="15.75" customHeight="1" s="164"/>
    <row r="522" ht="15.75" customHeight="1" s="164"/>
    <row r="523" ht="15.75" customHeight="1" s="164"/>
    <row r="524" ht="15.75" customHeight="1" s="164"/>
    <row r="525" ht="15.75" customHeight="1" s="164"/>
    <row r="526" ht="15.75" customHeight="1" s="164"/>
    <row r="527" ht="15.75" customHeight="1" s="164"/>
    <row r="528" ht="15.75" customHeight="1" s="164"/>
    <row r="529" ht="15.75" customHeight="1" s="164"/>
    <row r="530" ht="15.75" customHeight="1" s="164"/>
    <row r="531" ht="15.75" customHeight="1" s="164"/>
    <row r="532" ht="15.75" customHeight="1" s="164"/>
    <row r="533" ht="15.75" customHeight="1" s="164"/>
    <row r="534" ht="15.75" customHeight="1" s="164"/>
    <row r="535" ht="15.75" customHeight="1" s="164"/>
    <row r="536" ht="15.75" customHeight="1" s="164"/>
    <row r="537" ht="15.75" customHeight="1" s="164"/>
    <row r="538" ht="15.75" customHeight="1" s="164"/>
    <row r="539" ht="15.75" customHeight="1" s="164"/>
    <row r="540" ht="15.75" customHeight="1" s="164"/>
    <row r="541" ht="15.75" customHeight="1" s="164"/>
    <row r="542" ht="15.75" customHeight="1" s="164"/>
    <row r="543" ht="15.75" customHeight="1" s="164"/>
    <row r="544" ht="15.75" customHeight="1" s="164"/>
    <row r="545" ht="15.75" customHeight="1" s="164"/>
    <row r="546" ht="15.75" customHeight="1" s="164"/>
    <row r="547" ht="15.75" customHeight="1" s="164"/>
    <row r="548" ht="15.75" customHeight="1" s="164"/>
    <row r="549" ht="15.75" customHeight="1" s="164"/>
    <row r="550" ht="15.75" customHeight="1" s="164"/>
    <row r="551" ht="15.75" customHeight="1" s="164"/>
    <row r="552" ht="15.75" customHeight="1" s="164"/>
    <row r="553" ht="15.75" customHeight="1" s="164"/>
    <row r="554" ht="15.75" customHeight="1" s="164"/>
    <row r="555" ht="15.75" customHeight="1" s="164"/>
    <row r="556" ht="15.75" customHeight="1" s="164"/>
    <row r="557" ht="15.75" customHeight="1" s="164"/>
    <row r="558" ht="15.75" customHeight="1" s="164"/>
    <row r="559" ht="15.75" customHeight="1" s="164"/>
    <row r="560" ht="15.75" customHeight="1" s="164"/>
    <row r="561" ht="15.75" customHeight="1" s="164"/>
    <row r="562" ht="15.75" customHeight="1" s="164"/>
    <row r="563" ht="15.75" customHeight="1" s="164"/>
    <row r="564" ht="15.75" customHeight="1" s="164"/>
    <row r="565" ht="15.75" customHeight="1" s="164"/>
    <row r="566" ht="15.75" customHeight="1" s="164"/>
    <row r="567" ht="15.75" customHeight="1" s="164"/>
    <row r="568" ht="15.75" customHeight="1" s="164"/>
    <row r="569" ht="15.75" customHeight="1" s="164"/>
    <row r="570" ht="15.75" customHeight="1" s="164"/>
    <row r="571" ht="15.75" customHeight="1" s="164"/>
    <row r="572" ht="15.75" customHeight="1" s="164"/>
    <row r="573" ht="15.75" customHeight="1" s="164"/>
    <row r="574" ht="15.75" customHeight="1" s="164"/>
    <row r="575" ht="15.75" customHeight="1" s="164"/>
    <row r="576" ht="15.75" customHeight="1" s="164"/>
    <row r="577" ht="15.75" customHeight="1" s="164"/>
    <row r="578" ht="15.75" customHeight="1" s="164"/>
    <row r="579" ht="15.75" customHeight="1" s="164"/>
    <row r="580" ht="15.75" customHeight="1" s="164"/>
    <row r="581" ht="15.75" customHeight="1" s="164"/>
    <row r="582" ht="15.75" customHeight="1" s="164"/>
    <row r="583" ht="15.75" customHeight="1" s="164"/>
    <row r="584" ht="15.75" customHeight="1" s="164"/>
    <row r="585" ht="15.75" customHeight="1" s="164"/>
    <row r="586" ht="15.75" customHeight="1" s="164"/>
    <row r="587" ht="15.75" customHeight="1" s="164"/>
    <row r="588" ht="15.75" customHeight="1" s="164"/>
    <row r="589" ht="15.75" customHeight="1" s="164"/>
    <row r="590" ht="15.75" customHeight="1" s="164"/>
    <row r="591" ht="15.75" customHeight="1" s="164"/>
    <row r="592" ht="15.75" customHeight="1" s="164"/>
    <row r="593" ht="15.75" customHeight="1" s="164"/>
    <row r="594" ht="15.75" customHeight="1" s="164"/>
    <row r="595" ht="15.75" customHeight="1" s="164"/>
    <row r="596" ht="15.75" customHeight="1" s="164"/>
    <row r="597" ht="15.75" customHeight="1" s="164"/>
    <row r="598" ht="15.75" customHeight="1" s="164"/>
    <row r="599" ht="15.75" customHeight="1" s="164"/>
    <row r="600" ht="15.75" customHeight="1" s="164"/>
    <row r="601" ht="15.75" customHeight="1" s="164"/>
    <row r="602" ht="15.75" customHeight="1" s="164"/>
    <row r="603" ht="15.75" customHeight="1" s="164"/>
    <row r="604" ht="15.75" customHeight="1" s="164"/>
    <row r="605" ht="15.75" customHeight="1" s="164"/>
    <row r="606" ht="15.75" customHeight="1" s="164"/>
    <row r="607" ht="15.75" customHeight="1" s="164"/>
    <row r="608" ht="15.75" customHeight="1" s="164"/>
    <row r="609" ht="15.75" customHeight="1" s="164"/>
    <row r="610" ht="15.75" customHeight="1" s="164"/>
    <row r="611" ht="15.75" customHeight="1" s="164"/>
    <row r="612" ht="15.75" customHeight="1" s="164"/>
    <row r="613" ht="15.75" customHeight="1" s="164"/>
    <row r="614" ht="15.75" customHeight="1" s="164"/>
    <row r="615" ht="15.75" customHeight="1" s="164"/>
    <row r="616" ht="15.75" customHeight="1" s="164"/>
    <row r="617" ht="15.75" customHeight="1" s="164"/>
    <row r="618" ht="15.75" customHeight="1" s="164"/>
    <row r="619" ht="15.75" customHeight="1" s="164"/>
    <row r="620" ht="15.75" customHeight="1" s="164"/>
    <row r="621" ht="15.75" customHeight="1" s="164"/>
    <row r="622" ht="15.75" customHeight="1" s="164"/>
    <row r="623" ht="15.75" customHeight="1" s="164"/>
    <row r="624" ht="15.75" customHeight="1" s="164"/>
    <row r="625" ht="15.75" customHeight="1" s="164"/>
    <row r="626" ht="15.75" customHeight="1" s="164"/>
    <row r="627" ht="15.75" customHeight="1" s="164"/>
    <row r="628" ht="15.75" customHeight="1" s="164"/>
    <row r="629" ht="15.75" customHeight="1" s="164"/>
    <row r="630" ht="15.75" customHeight="1" s="164"/>
    <row r="631" ht="15.75" customHeight="1" s="164"/>
    <row r="632" ht="15.75" customHeight="1" s="164"/>
    <row r="633" ht="15.75" customHeight="1" s="164"/>
    <row r="634" ht="15.75" customHeight="1" s="164"/>
    <row r="635" ht="15.75" customHeight="1" s="164"/>
    <row r="636" ht="15.75" customHeight="1" s="164"/>
    <row r="637" ht="15.75" customHeight="1" s="164"/>
    <row r="638" ht="15.75" customHeight="1" s="164"/>
    <row r="639" ht="15.75" customHeight="1" s="164"/>
    <row r="640" ht="15.75" customHeight="1" s="164"/>
    <row r="641" ht="15.75" customHeight="1" s="164"/>
    <row r="642" ht="15.75" customHeight="1" s="164"/>
    <row r="643" ht="15.75" customHeight="1" s="164"/>
    <row r="644" ht="15.75" customHeight="1" s="164"/>
    <row r="645" ht="15.75" customHeight="1" s="164"/>
    <row r="646" ht="15.75" customHeight="1" s="164"/>
    <row r="647" ht="15.75" customHeight="1" s="164"/>
    <row r="648" ht="15.75" customHeight="1" s="164"/>
    <row r="649" ht="15.75" customHeight="1" s="164"/>
    <row r="650" ht="15.75" customHeight="1" s="164"/>
    <row r="651" ht="15.75" customHeight="1" s="164"/>
    <row r="652" ht="15.75" customHeight="1" s="164"/>
    <row r="653" ht="15.75" customHeight="1" s="164"/>
    <row r="654" ht="15.75" customHeight="1" s="164"/>
    <row r="655" ht="15.75" customHeight="1" s="164"/>
    <row r="656" ht="15.75" customHeight="1" s="164"/>
    <row r="657" ht="15.75" customHeight="1" s="164"/>
    <row r="658" ht="15.75" customHeight="1" s="164"/>
    <row r="659" ht="15.75" customHeight="1" s="164"/>
    <row r="660" ht="15.75" customHeight="1" s="164"/>
    <row r="661" ht="15.75" customHeight="1" s="164"/>
    <row r="662" ht="15.75" customHeight="1" s="164"/>
    <row r="663" ht="15.75" customHeight="1" s="164"/>
    <row r="664" ht="15.75" customHeight="1" s="164"/>
    <row r="665" ht="15.75" customHeight="1" s="164"/>
    <row r="666" ht="15.75" customHeight="1" s="164"/>
    <row r="667" ht="15.75" customHeight="1" s="164"/>
    <row r="668" ht="15.75" customHeight="1" s="164"/>
    <row r="669" ht="15.75" customHeight="1" s="164"/>
    <row r="670" ht="15.75" customHeight="1" s="164"/>
    <row r="671" ht="15.75" customHeight="1" s="164"/>
    <row r="672" ht="15.75" customHeight="1" s="164"/>
    <row r="673" ht="15.75" customHeight="1" s="164"/>
    <row r="674" ht="15.75" customHeight="1" s="164"/>
    <row r="675" ht="15.75" customHeight="1" s="164"/>
    <row r="676" ht="15.75" customHeight="1" s="164"/>
    <row r="677" ht="15.75" customHeight="1" s="164"/>
    <row r="678" ht="15.75" customHeight="1" s="164"/>
    <row r="679" ht="15.75" customHeight="1" s="164"/>
    <row r="680" ht="15.75" customHeight="1" s="164"/>
    <row r="681" ht="15.75" customHeight="1" s="164"/>
    <row r="682" ht="15.75" customHeight="1" s="164"/>
    <row r="683" ht="15.75" customHeight="1" s="164"/>
    <row r="684" ht="15.75" customHeight="1" s="164"/>
    <row r="685" ht="15.75" customHeight="1" s="164"/>
    <row r="686" ht="15.75" customHeight="1" s="164"/>
    <row r="687" ht="15.75" customHeight="1" s="164"/>
    <row r="688" ht="15.75" customHeight="1" s="164"/>
    <row r="689" ht="15.75" customHeight="1" s="164"/>
    <row r="690" ht="15.75" customHeight="1" s="164"/>
    <row r="691" ht="15.75" customHeight="1" s="164"/>
    <row r="692" ht="15.75" customHeight="1" s="164"/>
    <row r="693" ht="15.75" customHeight="1" s="164"/>
    <row r="694" ht="15.75" customHeight="1" s="164"/>
    <row r="695" ht="15.75" customHeight="1" s="164"/>
    <row r="696" ht="15.75" customHeight="1" s="164"/>
    <row r="697" ht="15.75" customHeight="1" s="164"/>
    <row r="698" ht="15.75" customHeight="1" s="164"/>
    <row r="699" ht="15.75" customHeight="1" s="164"/>
    <row r="700" ht="15.75" customHeight="1" s="164"/>
    <row r="701" ht="15.75" customHeight="1" s="164"/>
    <row r="702" ht="15.75" customHeight="1" s="164"/>
    <row r="703" ht="15.75" customHeight="1" s="164"/>
    <row r="704" ht="15.75" customHeight="1" s="164"/>
    <row r="705" ht="15.75" customHeight="1" s="164"/>
    <row r="706" ht="15.75" customHeight="1" s="164"/>
    <row r="707" ht="15.75" customHeight="1" s="164"/>
    <row r="708" ht="15.75" customHeight="1" s="164"/>
    <row r="709" ht="15.75" customHeight="1" s="164"/>
    <row r="710" ht="15.75" customHeight="1" s="164"/>
    <row r="711" ht="15.75" customHeight="1" s="164"/>
    <row r="712" ht="15.75" customHeight="1" s="164"/>
    <row r="713" ht="15.75" customHeight="1" s="164"/>
    <row r="714" ht="15.75" customHeight="1" s="164"/>
    <row r="715" ht="15.75" customHeight="1" s="164"/>
    <row r="716" ht="15.75" customHeight="1" s="164"/>
    <row r="717" ht="15.75" customHeight="1" s="164"/>
    <row r="718" ht="15.75" customHeight="1" s="164"/>
    <row r="719" ht="15.75" customHeight="1" s="164"/>
    <row r="720" ht="15.75" customHeight="1" s="164"/>
    <row r="721" ht="15.75" customHeight="1" s="164"/>
    <row r="722" ht="15.75" customHeight="1" s="164"/>
    <row r="723" ht="15.75" customHeight="1" s="164"/>
    <row r="724" ht="15.75" customHeight="1" s="164"/>
    <row r="725" ht="15.75" customHeight="1" s="164"/>
    <row r="726" ht="15.75" customHeight="1" s="164"/>
    <row r="727" ht="15.75" customHeight="1" s="164"/>
    <row r="728" ht="15.75" customHeight="1" s="164"/>
    <row r="729" ht="15.75" customHeight="1" s="164"/>
    <row r="730" ht="15.75" customHeight="1" s="164"/>
    <row r="731" ht="15.75" customHeight="1" s="164"/>
    <row r="732" ht="15.75" customHeight="1" s="164"/>
    <row r="733" ht="15.75" customHeight="1" s="164"/>
    <row r="734" ht="15.75" customHeight="1" s="164"/>
    <row r="735" ht="15.75" customHeight="1" s="164"/>
    <row r="736" ht="15.75" customHeight="1" s="164"/>
    <row r="737" ht="15.75" customHeight="1" s="164"/>
    <row r="738" ht="15.75" customHeight="1" s="164"/>
    <row r="739" ht="15.75" customHeight="1" s="164"/>
    <row r="740" ht="15.75" customHeight="1" s="164"/>
    <row r="741" ht="15.75" customHeight="1" s="164"/>
    <row r="742" ht="15.75" customHeight="1" s="164"/>
    <row r="743" ht="15.75" customHeight="1" s="164"/>
    <row r="744" ht="15.75" customHeight="1" s="164"/>
    <row r="745" ht="15.75" customHeight="1" s="164"/>
    <row r="746" ht="15.75" customHeight="1" s="164"/>
    <row r="747" ht="15.75" customHeight="1" s="164"/>
    <row r="748" ht="15.75" customHeight="1" s="164"/>
    <row r="749" ht="15.75" customHeight="1" s="164"/>
    <row r="750" ht="15.75" customHeight="1" s="164"/>
    <row r="751" ht="15.75" customHeight="1" s="164"/>
    <row r="752" ht="15.75" customHeight="1" s="164"/>
    <row r="753" ht="15.75" customHeight="1" s="164"/>
    <row r="754" ht="15.75" customHeight="1" s="164"/>
    <row r="755" ht="15.75" customHeight="1" s="164"/>
    <row r="756" ht="15.75" customHeight="1" s="164"/>
    <row r="757" ht="15.75" customHeight="1" s="164"/>
    <row r="758" ht="15.75" customHeight="1" s="164"/>
    <row r="759" ht="15.75" customHeight="1" s="164"/>
    <row r="760" ht="15.75" customHeight="1" s="164"/>
    <row r="761" ht="15.75" customHeight="1" s="164"/>
    <row r="762" ht="15.75" customHeight="1" s="164"/>
    <row r="763" ht="15.75" customHeight="1" s="164"/>
    <row r="764" ht="15.75" customHeight="1" s="164"/>
    <row r="765" ht="15.75" customHeight="1" s="164"/>
    <row r="766" ht="15.75" customHeight="1" s="164"/>
    <row r="767" ht="15.75" customHeight="1" s="164"/>
    <row r="768" ht="15.75" customHeight="1" s="164"/>
    <row r="769" ht="15.75" customHeight="1" s="164"/>
    <row r="770" ht="15.75" customHeight="1" s="164"/>
    <row r="771" ht="15.75" customHeight="1" s="164"/>
    <row r="772" ht="15.75" customHeight="1" s="164"/>
    <row r="773" ht="15.75" customHeight="1" s="164"/>
    <row r="774" ht="15.75" customHeight="1" s="164"/>
    <row r="775" ht="15.75" customHeight="1" s="164"/>
    <row r="776" ht="15.75" customHeight="1" s="164"/>
    <row r="777" ht="15.75" customHeight="1" s="164"/>
    <row r="778" ht="15.75" customHeight="1" s="164"/>
    <row r="779" ht="15.75" customHeight="1" s="164"/>
    <row r="780" ht="15.75" customHeight="1" s="164"/>
    <row r="781" ht="15.75" customHeight="1" s="164"/>
    <row r="782" ht="15.75" customHeight="1" s="164"/>
    <row r="783" ht="15.75" customHeight="1" s="164"/>
    <row r="784" ht="15.75" customHeight="1" s="164"/>
    <row r="785" ht="15.75" customHeight="1" s="164"/>
    <row r="786" ht="15.75" customHeight="1" s="164"/>
    <row r="787" ht="15.75" customHeight="1" s="164"/>
    <row r="788" ht="15.75" customHeight="1" s="164"/>
    <row r="789" ht="15.75" customHeight="1" s="164"/>
    <row r="790" ht="15.75" customHeight="1" s="164"/>
    <row r="791" ht="15.75" customHeight="1" s="164"/>
    <row r="792" ht="15.75" customHeight="1" s="164"/>
    <row r="793" ht="15.75" customHeight="1" s="164"/>
    <row r="794" ht="15.75" customHeight="1" s="164"/>
    <row r="795" ht="15.75" customHeight="1" s="164"/>
    <row r="796" ht="15.75" customHeight="1" s="164"/>
    <row r="797" ht="15.75" customHeight="1" s="164"/>
    <row r="798" ht="15.75" customHeight="1" s="164"/>
    <row r="799" ht="15.75" customHeight="1" s="164"/>
    <row r="800" ht="15.75" customHeight="1" s="164"/>
    <row r="801" ht="15.75" customHeight="1" s="164"/>
    <row r="802" ht="15.75" customHeight="1" s="164"/>
    <row r="803" ht="15.75" customHeight="1" s="164"/>
    <row r="804" ht="15.75" customHeight="1" s="164"/>
    <row r="805" ht="15.75" customHeight="1" s="164"/>
    <row r="806" ht="15.75" customHeight="1" s="164"/>
    <row r="807" ht="15.75" customHeight="1" s="164"/>
    <row r="808" ht="15.75" customHeight="1" s="164"/>
    <row r="809" ht="15.75" customHeight="1" s="164"/>
    <row r="810" ht="15.75" customHeight="1" s="164"/>
    <row r="811" ht="15.75" customHeight="1" s="164"/>
    <row r="812" ht="15.75" customHeight="1" s="164"/>
    <row r="813" ht="15.75" customHeight="1" s="164"/>
    <row r="814" ht="15.75" customHeight="1" s="164"/>
    <row r="815" ht="15.75" customHeight="1" s="164"/>
    <row r="816" ht="15.75" customHeight="1" s="164"/>
    <row r="817" ht="15.75" customHeight="1" s="164"/>
    <row r="818" ht="15.75" customHeight="1" s="164"/>
    <row r="819" ht="15.75" customHeight="1" s="164"/>
    <row r="820" ht="15.75" customHeight="1" s="164"/>
    <row r="821" ht="15.75" customHeight="1" s="164"/>
    <row r="822" ht="15.75" customHeight="1" s="164"/>
    <row r="823" ht="15.75" customHeight="1" s="164"/>
    <row r="824" ht="15.75" customHeight="1" s="164"/>
    <row r="825" ht="15.75" customHeight="1" s="164"/>
    <row r="826" ht="15.75" customHeight="1" s="164"/>
    <row r="827" ht="15.75" customHeight="1" s="164"/>
    <row r="828" ht="15.75" customHeight="1" s="164"/>
    <row r="829" ht="15.75" customHeight="1" s="164"/>
    <row r="830" ht="15.75" customHeight="1" s="164"/>
    <row r="831" ht="15.75" customHeight="1" s="164"/>
    <row r="832" ht="15.75" customHeight="1" s="164"/>
    <row r="833" ht="15.75" customHeight="1" s="164"/>
    <row r="834" ht="15.75" customHeight="1" s="164"/>
    <row r="835" ht="15.75" customHeight="1" s="164"/>
    <row r="836" ht="15.75" customHeight="1" s="164"/>
    <row r="837" ht="15.75" customHeight="1" s="164"/>
    <row r="838" ht="15.75" customHeight="1" s="164"/>
    <row r="839" ht="15.75" customHeight="1" s="164"/>
    <row r="840" ht="15.75" customHeight="1" s="164"/>
    <row r="841" ht="15.75" customHeight="1" s="164"/>
    <row r="842" ht="15.75" customHeight="1" s="164"/>
    <row r="843" ht="15.75" customHeight="1" s="164"/>
    <row r="844" ht="15.75" customHeight="1" s="164"/>
    <row r="845" ht="15.75" customHeight="1" s="164"/>
    <row r="846" ht="15.75" customHeight="1" s="164"/>
    <row r="847" ht="15.75" customHeight="1" s="164"/>
    <row r="848" ht="15.75" customHeight="1" s="164"/>
    <row r="849" ht="15.75" customHeight="1" s="164"/>
    <row r="850" ht="15.75" customHeight="1" s="164"/>
    <row r="851" ht="15.75" customHeight="1" s="164"/>
    <row r="852" ht="15.75" customHeight="1" s="164"/>
    <row r="853" ht="15.75" customHeight="1" s="164"/>
    <row r="854" ht="15.75" customHeight="1" s="164"/>
    <row r="855" ht="15.75" customHeight="1" s="164"/>
    <row r="856" ht="15.75" customHeight="1" s="164"/>
    <row r="857" ht="15.75" customHeight="1" s="164"/>
    <row r="858" ht="15.75" customHeight="1" s="164"/>
    <row r="859" ht="15.75" customHeight="1" s="164"/>
    <row r="860" ht="15.75" customHeight="1" s="164"/>
    <row r="861" ht="15.75" customHeight="1" s="164"/>
    <row r="862" ht="15.75" customHeight="1" s="164"/>
    <row r="863" ht="15.75" customHeight="1" s="164"/>
    <row r="864" ht="15.75" customHeight="1" s="164"/>
    <row r="865" ht="15.75" customHeight="1" s="164"/>
    <row r="866" ht="15.75" customHeight="1" s="164"/>
    <row r="867" ht="15.75" customHeight="1" s="164"/>
    <row r="868" ht="15.75" customHeight="1" s="164"/>
    <row r="869" ht="15.75" customHeight="1" s="164"/>
    <row r="870" ht="15.75" customHeight="1" s="164"/>
    <row r="871" ht="15.75" customHeight="1" s="164"/>
    <row r="872" ht="15.75" customHeight="1" s="164"/>
    <row r="873" ht="15.75" customHeight="1" s="164"/>
    <row r="874" ht="15.75" customHeight="1" s="164"/>
    <row r="875" ht="15.75" customHeight="1" s="164"/>
    <row r="876" ht="15.75" customHeight="1" s="164"/>
    <row r="877" ht="15.75" customHeight="1" s="164"/>
    <row r="878" ht="15.75" customHeight="1" s="164"/>
    <row r="879" ht="15.75" customHeight="1" s="164"/>
    <row r="880" ht="15.75" customHeight="1" s="164"/>
    <row r="881" ht="15.75" customHeight="1" s="164"/>
    <row r="882" ht="15.75" customHeight="1" s="164"/>
    <row r="883" ht="15.75" customHeight="1" s="164"/>
    <row r="884" ht="15.75" customHeight="1" s="164"/>
    <row r="885" ht="15.75" customHeight="1" s="164"/>
    <row r="886" ht="15.75" customHeight="1" s="164"/>
    <row r="887" ht="15.75" customHeight="1" s="164"/>
    <row r="888" ht="15.75" customHeight="1" s="164"/>
    <row r="889" ht="15.75" customHeight="1" s="164"/>
    <row r="890" ht="15.75" customHeight="1" s="164"/>
    <row r="891" ht="15.75" customHeight="1" s="164"/>
    <row r="892" ht="15.75" customHeight="1" s="164"/>
    <row r="893" ht="15.75" customHeight="1" s="164"/>
    <row r="894" ht="15.75" customHeight="1" s="164"/>
    <row r="895" ht="15.75" customHeight="1" s="164"/>
    <row r="896" ht="15.75" customHeight="1" s="164"/>
    <row r="897" ht="15.75" customHeight="1" s="164"/>
    <row r="898" ht="15.75" customHeight="1" s="164"/>
    <row r="899" ht="15.75" customHeight="1" s="164"/>
    <row r="900" ht="15.75" customHeight="1" s="164"/>
    <row r="901" ht="15.75" customHeight="1" s="164"/>
    <row r="902" ht="15.75" customHeight="1" s="164"/>
    <row r="903" ht="15.75" customHeight="1" s="164"/>
    <row r="904" ht="15.75" customHeight="1" s="164"/>
    <row r="905" ht="15.75" customHeight="1" s="164"/>
    <row r="906" ht="15.75" customHeight="1" s="164"/>
    <row r="907" ht="15.75" customHeight="1" s="164"/>
    <row r="908" ht="15.75" customHeight="1" s="164"/>
    <row r="909" ht="15.75" customHeight="1" s="164"/>
    <row r="910" ht="15.75" customHeight="1" s="164"/>
    <row r="911" ht="15.75" customHeight="1" s="164"/>
    <row r="912" ht="15.75" customHeight="1" s="164"/>
    <row r="913" ht="15.75" customHeight="1" s="164"/>
    <row r="914" ht="15.75" customHeight="1" s="164"/>
    <row r="915" ht="15.75" customHeight="1" s="164"/>
    <row r="916" ht="15.75" customHeight="1" s="164"/>
    <row r="917" ht="15.75" customHeight="1" s="164"/>
    <row r="918" ht="15.75" customHeight="1" s="164"/>
    <row r="919" ht="15.75" customHeight="1" s="164"/>
    <row r="920" ht="15.75" customHeight="1" s="164"/>
    <row r="921" ht="15.75" customHeight="1" s="164"/>
    <row r="922" ht="15.75" customHeight="1" s="164"/>
    <row r="923" ht="15.75" customHeight="1" s="164"/>
    <row r="924" ht="15.75" customHeight="1" s="164"/>
    <row r="925" ht="15.75" customHeight="1" s="164"/>
    <row r="926" ht="15.75" customHeight="1" s="164"/>
    <row r="927" ht="15.75" customHeight="1" s="164"/>
    <row r="928" ht="15.75" customHeight="1" s="164"/>
    <row r="929" ht="15.75" customHeight="1" s="164"/>
    <row r="930" ht="15.75" customHeight="1" s="164"/>
    <row r="931" ht="15.75" customHeight="1" s="164"/>
    <row r="932" ht="15.75" customHeight="1" s="164"/>
    <row r="933" ht="15.75" customHeight="1" s="164"/>
    <row r="934" ht="15.75" customHeight="1" s="164"/>
    <row r="935" ht="15.75" customHeight="1" s="164"/>
    <row r="936" ht="15.75" customHeight="1" s="164"/>
    <row r="937" ht="15.75" customHeight="1" s="164"/>
    <row r="938" ht="15.75" customHeight="1" s="164"/>
    <row r="939" ht="15.75" customHeight="1" s="164"/>
    <row r="940" ht="15.75" customHeight="1" s="164"/>
    <row r="941" ht="15.75" customHeight="1" s="164"/>
    <row r="942" ht="15.75" customHeight="1" s="164"/>
    <row r="943" ht="15.75" customHeight="1" s="164"/>
    <row r="944" ht="15.75" customHeight="1" s="164"/>
    <row r="945" ht="15.75" customHeight="1" s="164"/>
    <row r="946" ht="15.75" customHeight="1" s="164"/>
    <row r="947" ht="15.75" customHeight="1" s="164"/>
    <row r="948" ht="15.75" customHeight="1" s="164"/>
    <row r="949" ht="15.75" customHeight="1" s="164"/>
    <row r="950" ht="15.75" customHeight="1" s="164"/>
    <row r="951" ht="15.75" customHeight="1" s="164"/>
    <row r="952" ht="15.75" customHeight="1" s="164"/>
    <row r="953" ht="15.75" customHeight="1" s="164"/>
    <row r="954" ht="15.75" customHeight="1" s="164"/>
    <row r="955" ht="15.75" customHeight="1" s="164"/>
    <row r="956" ht="15.75" customHeight="1" s="164"/>
    <row r="957" ht="15.75" customHeight="1" s="164"/>
    <row r="958" ht="15.75" customHeight="1" s="164"/>
    <row r="959" ht="15.75" customHeight="1" s="164"/>
    <row r="960" ht="15.75" customHeight="1" s="164"/>
    <row r="961" ht="15.75" customHeight="1" s="164"/>
    <row r="962" ht="15.75" customHeight="1" s="164"/>
    <row r="963" ht="15.75" customHeight="1" s="164"/>
    <row r="964" ht="15.75" customHeight="1" s="164"/>
    <row r="965" ht="15.75" customHeight="1" s="164"/>
    <row r="966" ht="15.75" customHeight="1" s="164"/>
    <row r="967" ht="15.75" customHeight="1" s="164"/>
    <row r="968" ht="15.75" customHeight="1" s="164"/>
    <row r="969" ht="15.75" customHeight="1" s="164"/>
    <row r="970" ht="15.75" customHeight="1" s="164"/>
    <row r="971" ht="15.75" customHeight="1" s="164"/>
    <row r="972" ht="15.75" customHeight="1" s="164"/>
    <row r="973" ht="15.75" customHeight="1" s="164"/>
    <row r="974" ht="15.75" customHeight="1" s="164"/>
    <row r="975" ht="15.75" customHeight="1" s="164"/>
    <row r="976" ht="15.75" customHeight="1" s="164"/>
    <row r="977" ht="15.75" customHeight="1" s="164"/>
    <row r="978" ht="15.75" customHeight="1" s="164"/>
    <row r="979" ht="15.75" customHeight="1" s="164"/>
    <row r="980" ht="15.75" customHeight="1" s="164"/>
    <row r="981" ht="15.75" customHeight="1" s="164"/>
    <row r="982" ht="15.75" customHeight="1" s="164"/>
    <row r="983" ht="15.75" customHeight="1" s="164"/>
    <row r="984" ht="15.75" customHeight="1" s="164"/>
    <row r="985" ht="15.75" customHeight="1" s="164"/>
    <row r="986" ht="15.75" customHeight="1" s="164"/>
    <row r="987" ht="15.75" customHeight="1" s="164"/>
    <row r="988" ht="15.75" customHeight="1" s="164"/>
    <row r="989" ht="15.75" customHeight="1" s="164"/>
    <row r="990" ht="15.75" customHeight="1" s="164"/>
    <row r="991" ht="15.75" customHeight="1" s="164"/>
    <row r="992" ht="15.75" customHeight="1" s="164"/>
    <row r="993" ht="15.75" customHeight="1" s="164"/>
    <row r="994" ht="15.75" customHeight="1" s="164"/>
    <row r="995" ht="15.75" customHeight="1" s="164"/>
    <row r="996" ht="15.75" customHeight="1" s="164"/>
    <row r="997" ht="15.75" customHeight="1" s="164"/>
    <row r="998" ht="15.75" customHeight="1" s="164"/>
    <row r="999" ht="15.75" customHeight="1" s="164"/>
    <row r="1000" ht="15.75" customHeight="1" s="164"/>
  </sheetData>
  <sheetProtection selectLockedCells="0" selectUnlockedCells="0" sheet="1" objects="1" insertRows="0" insertHyperlinks="0" autoFilter="0" scenarios="1" formatColumns="0" deleteColumns="0" insertColumns="0" pivotTables="0" deleteRows="0" formatCells="0" formatRows="0" sort="0" password="ED3D"/>
  <mergeCells count="17">
    <mergeCell ref="E39:H39"/>
    <mergeCell ref="AB1:AC1"/>
    <mergeCell ref="D1:E1"/>
    <mergeCell ref="X1:Y1"/>
    <mergeCell ref="V1:W1"/>
    <mergeCell ref="T1:U1"/>
    <mergeCell ref="H1:I1"/>
    <mergeCell ref="Z1:AA1"/>
    <mergeCell ref="L1:M1"/>
    <mergeCell ref="J1:K1"/>
    <mergeCell ref="P1:Q1"/>
    <mergeCell ref="B2:F3"/>
    <mergeCell ref="F1:G1"/>
    <mergeCell ref="B20:E20"/>
    <mergeCell ref="B1:C1"/>
    <mergeCell ref="N1:O1"/>
    <mergeCell ref="R1:S1"/>
  </mergeCells>
  <hyperlinks>
    <hyperlink ref="B1" location="Dashboard!A1" display="DASHBOARD"/>
    <hyperlink ref="D1" location="Aujourdhui!A1" display="AUJOURD'HUI"/>
    <hyperlink ref="F1" location="Applications!A1" display="CANDIDATURES"/>
    <hyperlink ref="H1" location="'Suivi Hebdo'!A1" display="SUIVI HEBDO"/>
    <hyperlink ref="J1" location="'Analyse Avancée'!A1" display="ANALYSE"/>
    <hyperlink ref="L1" location="'Contacts RH'!A1" display="CONTACTS"/>
    <hyperlink ref="N1" location="'Calendrier Activité'!A1" display="CALENDRIER"/>
    <hyperlink ref="R1" location="'Comparateur Offres'!A1" display="COMPARATEUR"/>
    <hyperlink ref="T1" location="'Simulateur Entretien'!A1" display="ENTRETIEN"/>
    <hyperlink ref="V1" location="'Lettre Auto'!A1" display="LETTRE"/>
    <hyperlink ref="X1" location="'Négociation Salariale'!A1" display="NEGOCIATION"/>
    <hyperlink ref="Z1" location="'Banque Reussites'!A1" display="REUSSITES"/>
    <hyperlink ref="AB1" location="Ressources!A1" display="RESSOURCES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en-US</dc:language>
  <dcterms:created xmlns:dcterms="http://purl.org/dc/terms/" xmlns:xsi="http://www.w3.org/2001/XMLSchema-instance" xsi:type="dcterms:W3CDTF">2026-07-15T09:01:43Z</dcterms:created>
  <dcterms:modified xmlns:dcterms="http://purl.org/dc/terms/" xmlns:xsi="http://www.w3.org/2001/XMLSchema-instance" xsi:type="dcterms:W3CDTF">2026-07-15T11:52:01Z</dcterms:modified>
  <cp:revision>2</cp:revision>
</cp:coreProperties>
</file>